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CØT\Tilskudsforvaltning\1. Ansøgningsmateriale\Puljer 2021\15.11.74.10 Kompensationsordninger\Faste\Udmelding\Dokumenter i gardin - Ansøgningsmateriale\"/>
    </mc:Choice>
  </mc:AlternateContent>
  <workbookProtection workbookAlgorithmName="SHA-512" workbookHashValue="6Al0FZuNSKYMzHQ8DBXky0E7h5xIkvuTwmQ0PltIoNaeS8WZLZuR7Ox4qTc2npow3TL0qfLb19LFVN8oas0GoQ==" workbookSaltValue="J14maRdzocVN7tjRckIBAQ==" workbookSpinCount="100000" lockStructure="1"/>
  <bookViews>
    <workbookView xWindow="0" yWindow="0" windowWidth="16455" windowHeight="4350"/>
  </bookViews>
  <sheets>
    <sheet name="Ansøgning" sheetId="1" r:id="rId1"/>
    <sheet name="Afrapportering" sheetId="4" state="hidden" r:id="rId2"/>
    <sheet name="Revisorerklæring - ansøgning" sheetId="6" state="hidden" r:id="rId3"/>
    <sheet name="Revisorerklæring - efterr." sheetId="9" state="hidden" r:id="rId4"/>
    <sheet name="Kontrol" sheetId="10" state="hidden" r:id="rId5"/>
    <sheet name="Lister" sheetId="2" state="hidden" r:id="rId6"/>
  </sheets>
  <definedNames>
    <definedName name="AndenReferenceperiode">Lister!$G$2:$G$346</definedName>
    <definedName name="FastholdeUdbetaling">Lister!$I$15:$I$17</definedName>
    <definedName name="Forbudsart">Lister!$K$2:$K$5</definedName>
    <definedName name="Kompensationsperiode">Lister!$A$2:$A$124</definedName>
    <definedName name="NegativtResultat">Lister!$I$10:$I$12</definedName>
    <definedName name="NystartedeVirksomheder">Lister!$E$2:$E$101</definedName>
    <definedName name="OpgørelseAfSenesteResultat">Lister!$I$20:$I$24</definedName>
    <definedName name="Referenceperiode">Lister!$I$2:$I$5</definedName>
    <definedName name="ReferenceperiodeFasteOmk">Lister!$M$2:$M$4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1" i="1" l="1"/>
  <c r="B61" i="1" l="1"/>
  <c r="A38" i="1" l="1"/>
  <c r="A27" i="1"/>
  <c r="B38" i="1" l="1"/>
  <c r="B40" i="1" s="1"/>
  <c r="B43" i="1" l="1"/>
  <c r="B44" i="1" l="1"/>
  <c r="B45" i="1" s="1"/>
  <c r="B48" i="1" s="1"/>
  <c r="B46" i="1"/>
  <c r="B84" i="1"/>
  <c r="B85" i="1" s="1"/>
  <c r="B86" i="1" l="1"/>
  <c r="B116" i="10"/>
  <c r="B103" i="10"/>
  <c r="B102" i="10"/>
  <c r="B95" i="10"/>
  <c r="B96" i="10"/>
  <c r="B97" i="10"/>
  <c r="B98" i="10"/>
  <c r="B94" i="10"/>
  <c r="B79" i="10"/>
  <c r="B65" i="10"/>
  <c r="B66" i="10"/>
  <c r="B67" i="10"/>
  <c r="B68" i="10"/>
  <c r="B69" i="10"/>
  <c r="B70" i="10"/>
  <c r="B71" i="10"/>
  <c r="B72" i="10"/>
  <c r="B73" i="10"/>
  <c r="B74" i="10"/>
  <c r="B75" i="10"/>
  <c r="B76" i="10"/>
  <c r="B64" i="10"/>
  <c r="A78" i="10" s="1"/>
  <c r="B52" i="10"/>
  <c r="B53" i="10"/>
  <c r="B54" i="10"/>
  <c r="B55" i="10"/>
  <c r="B56" i="10"/>
  <c r="B57" i="10"/>
  <c r="B58" i="10"/>
  <c r="B59" i="10"/>
  <c r="B60" i="10"/>
  <c r="B51" i="10"/>
  <c r="B39" i="10"/>
  <c r="B30" i="10"/>
  <c r="B31" i="10"/>
  <c r="B32" i="10"/>
  <c r="B33" i="10"/>
  <c r="B34" i="10"/>
  <c r="B35" i="10"/>
  <c r="B36" i="10"/>
  <c r="B29" i="10"/>
  <c r="B24" i="10"/>
  <c r="B25" i="10"/>
  <c r="B23" i="10"/>
  <c r="B5" i="10"/>
  <c r="B6" i="10"/>
  <c r="B7" i="10"/>
  <c r="B8" i="10"/>
  <c r="B9" i="10"/>
  <c r="B10" i="10"/>
  <c r="B11" i="10"/>
  <c r="B12" i="10"/>
  <c r="B13" i="10"/>
  <c r="B14" i="10"/>
  <c r="B15" i="10"/>
  <c r="B16" i="10"/>
  <c r="B17" i="10"/>
  <c r="B18" i="10"/>
  <c r="B19" i="10"/>
  <c r="B20" i="10"/>
  <c r="B4" i="10"/>
  <c r="A27" i="10" l="1"/>
  <c r="A60" i="10"/>
  <c r="B78" i="10"/>
  <c r="B80" i="10" s="1"/>
  <c r="A67" i="10"/>
  <c r="B86" i="10"/>
  <c r="A59" i="10"/>
  <c r="A54" i="10"/>
  <c r="A79" i="10"/>
  <c r="A65" i="10"/>
  <c r="A20" i="10"/>
  <c r="A19" i="10"/>
  <c r="B21" i="10"/>
  <c r="B108" i="10" s="1"/>
  <c r="B109" i="10" s="1"/>
  <c r="B110" i="10" s="1"/>
  <c r="B111" i="10" s="1"/>
  <c r="A57" i="10"/>
  <c r="B61" i="10"/>
  <c r="B83" i="10" s="1"/>
  <c r="B84" i="10" s="1"/>
  <c r="B85" i="10" s="1"/>
  <c r="A58" i="10"/>
  <c r="B38" i="10"/>
  <c r="B40" i="10" s="1"/>
  <c r="A38" i="10"/>
  <c r="A64" i="10"/>
  <c r="B46" i="10"/>
  <c r="B88" i="10" l="1"/>
  <c r="B100" i="10"/>
  <c r="B43" i="10"/>
  <c r="B44" i="10" s="1"/>
  <c r="B45" i="10" s="1"/>
  <c r="B48" i="10" s="1"/>
  <c r="B90" i="10" l="1"/>
  <c r="B117" i="10" s="1"/>
  <c r="B101" i="10" l="1"/>
  <c r="B119" i="10" s="1"/>
  <c r="A12" i="4"/>
  <c r="A11" i="4"/>
  <c r="A10" i="4"/>
  <c r="A80" i="1"/>
  <c r="A54" i="1"/>
  <c r="A67" i="1"/>
  <c r="D24" i="9" l="1"/>
  <c r="D19" i="9"/>
  <c r="D18" i="9"/>
  <c r="D11" i="9"/>
  <c r="D10" i="9"/>
  <c r="D9" i="9"/>
  <c r="B87" i="1"/>
  <c r="B71" i="4" l="1"/>
  <c r="B70" i="4"/>
  <c r="B45" i="4"/>
  <c r="B44" i="4"/>
  <c r="B102" i="4"/>
  <c r="B95" i="4"/>
  <c r="B24" i="6" l="1"/>
  <c r="D24" i="6" s="1"/>
  <c r="A26" i="6"/>
  <c r="A30" i="9"/>
  <c r="A29" i="9"/>
  <c r="B19" i="9"/>
  <c r="B18" i="9"/>
  <c r="B24" i="9"/>
  <c r="A14" i="9"/>
  <c r="B10" i="9"/>
  <c r="B11" i="9"/>
  <c r="B9" i="9"/>
  <c r="A9" i="9"/>
  <c r="A10" i="9"/>
  <c r="A11" i="9"/>
  <c r="A8" i="9"/>
  <c r="A28" i="9"/>
  <c r="A65" i="1" l="1"/>
  <c r="B49" i="4"/>
  <c r="B17" i="6"/>
  <c r="D17" i="6" s="1"/>
  <c r="A17" i="6"/>
  <c r="B8" i="6"/>
  <c r="D8" i="6" s="1"/>
  <c r="B22" i="6" l="1"/>
  <c r="D22" i="6" s="1"/>
  <c r="A22" i="6"/>
  <c r="A8" i="6"/>
  <c r="B14" i="6"/>
  <c r="D14" i="6" s="1"/>
  <c r="B15" i="6"/>
  <c r="D15" i="6" s="1"/>
  <c r="B89" i="1" l="1"/>
  <c r="B91" i="1" s="1"/>
  <c r="B17" i="4" l="1"/>
  <c r="B78" i="1"/>
  <c r="B79" i="1" s="1"/>
  <c r="B81" i="1" s="1"/>
  <c r="B82" i="1" s="1"/>
  <c r="B75" i="4" l="1"/>
  <c r="B21" i="6"/>
  <c r="D21" i="6" s="1"/>
  <c r="B93" i="4" l="1"/>
  <c r="B94" i="4"/>
  <c r="B112" i="4"/>
  <c r="B19" i="4"/>
  <c r="B92" i="4" s="1"/>
  <c r="B77" i="4" l="1"/>
  <c r="B78" i="4" s="1"/>
  <c r="B67" i="4"/>
  <c r="A24" i="9"/>
  <c r="A19" i="9"/>
  <c r="A18" i="9"/>
  <c r="B51" i="4"/>
  <c r="B41" i="4"/>
  <c r="B76" i="4"/>
  <c r="B74" i="4"/>
  <c r="A75" i="4" s="1"/>
  <c r="B69" i="4"/>
  <c r="A71" i="4" s="1"/>
  <c r="B66" i="4"/>
  <c r="B64" i="4"/>
  <c r="B63" i="4"/>
  <c r="B50" i="4"/>
  <c r="B48" i="4"/>
  <c r="B52" i="4" s="1"/>
  <c r="B43" i="4"/>
  <c r="B40" i="4"/>
  <c r="B37" i="4"/>
  <c r="B33" i="4"/>
  <c r="B32" i="4"/>
  <c r="B84" i="4"/>
  <c r="B26" i="9" l="1"/>
  <c r="D26" i="9" s="1"/>
  <c r="B58" i="4"/>
  <c r="B15" i="9"/>
  <c r="D15" i="9" s="1"/>
  <c r="B16" i="9"/>
  <c r="D16" i="9" s="1"/>
  <c r="A45" i="4"/>
  <c r="A76" i="4"/>
  <c r="A77" i="4"/>
  <c r="A70" i="4"/>
  <c r="A66" i="4"/>
  <c r="A67" i="4"/>
  <c r="A44" i="4"/>
  <c r="A49" i="4"/>
  <c r="A64" i="1" l="1"/>
  <c r="A58" i="1"/>
  <c r="A57" i="1"/>
  <c r="B72" i="4" l="1"/>
  <c r="B109" i="1"/>
  <c r="B110" i="1" s="1"/>
  <c r="B111" i="1" s="1"/>
  <c r="B46" i="4"/>
  <c r="B55" i="4" s="1"/>
  <c r="A60" i="1"/>
  <c r="A59" i="1"/>
  <c r="B81" i="4" l="1"/>
  <c r="B82" i="4" s="1"/>
  <c r="B83" i="4" s="1"/>
  <c r="B86" i="4" s="1"/>
  <c r="B56" i="4"/>
  <c r="B57" i="4" s="1"/>
  <c r="B104" i="4"/>
  <c r="B105" i="4" s="1"/>
  <c r="B106" i="4" s="1"/>
  <c r="B60" i="4" l="1"/>
  <c r="B88" i="4" s="1"/>
  <c r="B115" i="4" s="1"/>
  <c r="B107" i="4"/>
  <c r="B97" i="4" s="1"/>
  <c r="B113" i="4" l="1"/>
  <c r="B15" i="4"/>
  <c r="B28" i="9" s="1"/>
  <c r="D28" i="9" s="1"/>
  <c r="B98" i="4"/>
  <c r="B23" i="4"/>
  <c r="A78" i="1"/>
  <c r="A15" i="6"/>
  <c r="A14" i="6"/>
  <c r="B24" i="4" l="1"/>
  <c r="B29" i="4"/>
  <c r="B29" i="9" s="1"/>
  <c r="D29" i="9" s="1"/>
  <c r="B12" i="6"/>
  <c r="D12" i="6" s="1"/>
  <c r="B13" i="6"/>
  <c r="D13" i="6" s="1"/>
  <c r="A21" i="6"/>
  <c r="B112" i="1" l="1"/>
  <c r="B101" i="1" l="1"/>
  <c r="B118" i="1" l="1"/>
  <c r="B26" i="6"/>
  <c r="D26" i="6" s="1"/>
  <c r="B102" i="1"/>
  <c r="B14" i="4"/>
  <c r="B120" i="1" l="1"/>
  <c r="B121" i="10" s="1"/>
  <c r="B122" i="10" s="1"/>
  <c r="B30" i="4" l="1"/>
  <c r="B30" i="9" s="1"/>
  <c r="D30" i="9" s="1"/>
</calcChain>
</file>

<file path=xl/comments1.xml><?xml version="1.0" encoding="utf-8"?>
<comments xmlns="http://schemas.openxmlformats.org/spreadsheetml/2006/main">
  <authors>
    <author>Simon Hjerrild Bech</author>
  </authors>
  <commentList>
    <comment ref="B27" authorId="0" shapeId="0">
      <text>
        <r>
          <rPr>
            <sz val="9"/>
            <color indexed="81"/>
            <rFont val="Tahoma"/>
            <family val="2"/>
          </rPr>
          <t>Dette felt udfyldes af Slots- og Kulturstyrelsen.</t>
        </r>
      </text>
    </comment>
    <comment ref="B102" authorId="0" shapeId="0">
      <text>
        <r>
          <rPr>
            <sz val="9"/>
            <color indexed="81"/>
            <rFont val="Tahoma"/>
            <family val="2"/>
          </rPr>
          <t xml:space="preserve">Dette felt udfyldes af Socialstyrelsen
</t>
        </r>
      </text>
    </comment>
  </commentList>
</comments>
</file>

<file path=xl/sharedStrings.xml><?xml version="1.0" encoding="utf-8"?>
<sst xmlns="http://schemas.openxmlformats.org/spreadsheetml/2006/main" count="319" uniqueCount="138">
  <si>
    <t>CVR-nr.</t>
  </si>
  <si>
    <t>Kompensationsperiode</t>
  </si>
  <si>
    <t>Kompensationsperiode start</t>
  </si>
  <si>
    <t>Kompensationsperiode slut</t>
  </si>
  <si>
    <t>Forbudsperiode</t>
  </si>
  <si>
    <t>Nystartede virksomheder</t>
  </si>
  <si>
    <t>Forbud</t>
  </si>
  <si>
    <t>Vælg/Indtast</t>
  </si>
  <si>
    <t>Ikke forbud</t>
  </si>
  <si>
    <t>Hele kompensationsperioden</t>
  </si>
  <si>
    <t>Dele af kompensationsperioden</t>
  </si>
  <si>
    <t>Institutionsnavn</t>
  </si>
  <si>
    <t>Anden referenceperiode</t>
  </si>
  <si>
    <t>Afvigelse i pct.</t>
  </si>
  <si>
    <t>Begrundelse hvis afvigelse større end 10 pct.</t>
  </si>
  <si>
    <t>Forventede faste omkostninger i kompensationsperioden</t>
  </si>
  <si>
    <t>Forventet kommerciel omsætningsnedgang ved intet åbningsforbud eller åbningsforbud hele perioden</t>
  </si>
  <si>
    <t>ÅBNINGSFORBUD I DELE AF KOMPENSATIONSPERIODEN</t>
  </si>
  <si>
    <t>Sidste dag med åbningsforbud</t>
  </si>
  <si>
    <t>Forventet kommerciel omsætningsnedgang ved åbningsforbud i dele af perioden</t>
  </si>
  <si>
    <t>Er seneste resultat negativt</t>
  </si>
  <si>
    <t>Reduktion af kompensationsbeløb</t>
  </si>
  <si>
    <t>KOMPENSATIONSBELØB I ALT</t>
  </si>
  <si>
    <t>Referenceperiode for faste omkostninger</t>
  </si>
  <si>
    <t>Institution stiftet efter 1. dec. 2019</t>
  </si>
  <si>
    <t>Startdato for åbningsforbud</t>
  </si>
  <si>
    <t>Vælg referenceperiode for realiseret omsætning</t>
  </si>
  <si>
    <t>Vælg referenceperiode for realiseret omsætning i åbningsforbudsperioden</t>
  </si>
  <si>
    <t>OBS. Kun for institutioner stiftet efter 1. dec. 2019: Referenceperiode start</t>
  </si>
  <si>
    <t>OBS. Kun for institutioner stiftet efter 1. dec. 2019: Referenceperiode slut</t>
  </si>
  <si>
    <t>Vælg referenceperiode for faste omkostninger i åbningsforbudsperioden</t>
  </si>
  <si>
    <t>Ja</t>
  </si>
  <si>
    <t>Nej</t>
  </si>
  <si>
    <t>Oplys, om der har været åbningsforbud. Hvis nej oplys da "Ikke forbud"</t>
  </si>
  <si>
    <t>Anden referenceperiode (kun ved særlige omstændigheder)</t>
  </si>
  <si>
    <t>OBS. Kun ved anden referenceperiode under særlige omstændigheder: Referenceperiode start</t>
  </si>
  <si>
    <t>OBS. Kun ved anden referenceperiode under særlige omstændigheder: Referenceperiode slut</t>
  </si>
  <si>
    <t>Kompensationsbeløb ved intet åbningsforbud eller åbningsforbud hele perioden</t>
  </si>
  <si>
    <t>Kompensationsbeløb for åbningsforbudsperioden</t>
  </si>
  <si>
    <t>OBS. Kun for institutioner stifter efter 1. dec. 2019: Referenceperiode slut</t>
  </si>
  <si>
    <t>Er institutionens seneste resultat negativt?</t>
  </si>
  <si>
    <t>Hvis ja, er institutionens resultat med balancedag i 2017, 2018 og 2019 samlet set positivt?</t>
  </si>
  <si>
    <t>Hvis nej, oplys det seneste resultat</t>
  </si>
  <si>
    <t>Hvis institutionens seneste resultat er negativt, reduceres kompensationsbeløbet. Dog gælder en række undtagelser. Udfyld venligst nedenfor.</t>
  </si>
  <si>
    <t>Forventet kommerciel omsætningsnedgang hele perioden</t>
  </si>
  <si>
    <t>Indplacering i trappemodel hele perioden</t>
  </si>
  <si>
    <t>Kompensationssats hele perioden</t>
  </si>
  <si>
    <t>Kommerciel omsætning andel af samlet omsætning hele perioden</t>
  </si>
  <si>
    <t>Der ydes godtgørelse for 80 pct. af udgifterne til revisorerklæring, såfremt ansøgningen udløser kompensation.</t>
  </si>
  <si>
    <t>Godtgørelse af revisorudgifter</t>
  </si>
  <si>
    <t>Forventet kommerciel omsætning i kompensationsperioden</t>
  </si>
  <si>
    <t>NEDENSTÅENDE OPLYSES FOR HELE KOMPENSATIONSPERIODEN</t>
  </si>
  <si>
    <t>Referenceperiode realiseret omsætning</t>
  </si>
  <si>
    <t>Vælg referenceperiode for realiserede faste omkostninger</t>
  </si>
  <si>
    <t>Indplacering i trappemodel ved intet åbningsforbud eller åbningsforbud hele perioden</t>
  </si>
  <si>
    <t>Kompensationssats ved intet åbningsforbud eller åbningsforbud hele perioden</t>
  </si>
  <si>
    <t>Indplacering i trappemodel ved åbningsforbud i dele af perioden</t>
  </si>
  <si>
    <t>Kompensationssats ved åbningsforbud i dele af perioden</t>
  </si>
  <si>
    <t>Kommerciel omsætnings andel af samlet omsætning ved åbningsforbud i dele af perioden</t>
  </si>
  <si>
    <t>Hvis nej, er institutionens resultat positivt for hvert af de 3 regnskabsår med balancedag i 2016, 2017 og 2018?</t>
  </si>
  <si>
    <t>KOMPENSATIONSBELØB INKL. GODTGØRELSE AF REVISORUDGIFTER SAMT REDUKTION VED NEGATIVT RESULTAT</t>
  </si>
  <si>
    <t>Reduktion af kompensationsbeløb i pct.</t>
  </si>
  <si>
    <t>Fastholde udbetaling på 50 pct. af kompensationsbeløb</t>
  </si>
  <si>
    <r>
      <t xml:space="preserve">Alle hvide felter </t>
    </r>
    <r>
      <rPr>
        <u/>
        <sz val="11"/>
        <color theme="1"/>
        <rFont val="Calibri"/>
        <family val="2"/>
        <scheme val="minor"/>
      </rPr>
      <t>skal</t>
    </r>
    <r>
      <rPr>
        <sz val="11"/>
        <color theme="1"/>
        <rFont val="Calibri"/>
        <family val="2"/>
        <scheme val="minor"/>
      </rPr>
      <t xml:space="preserve"> udfyldes. Hvis beløbet er 0, oplyses dette. De grå felter beregnes automatisk.
Enkelte grå felter kan skifte til hvid undervejs afhængig af de indtastede oplysninger; disse skal i så fald udfyldes.</t>
    </r>
  </si>
  <si>
    <t>Kommerciel omsætnings andel af samlet omsætning ved intet åbningsforbud eller åbningsforbud hele perioden</t>
  </si>
  <si>
    <t>Opskaleret kommerciel omsætning svarende til en periode på fire måneder (institutioner stiftet efter 1. dec. 2019)</t>
  </si>
  <si>
    <t>Op-/nedskaleret kommerciel omsætning svarende til perioden med åbningsforbud</t>
  </si>
  <si>
    <t>Faktisk kommerciel omsætning i kompensationsperioden</t>
  </si>
  <si>
    <t>Referenceperiode for realiseret omsætning</t>
  </si>
  <si>
    <t>Faktiske faste omkostninger i kompensationsperioden</t>
  </si>
  <si>
    <t>Faktisk kommerciel omsætningsnedgang ved intet åbningsforbud eller åbningsforbud hele perioden</t>
  </si>
  <si>
    <t>Forventet kompensationsbeløb for åbningsforbudsperioden</t>
  </si>
  <si>
    <t>FORVENTET KOMPENSATIONSBELØB I ALT</t>
  </si>
  <si>
    <t>Faktisk omsætning i alt i kompensationsperioden</t>
  </si>
  <si>
    <t>Faktisk kommerciel omsætning i alt i kompensationsperioden</t>
  </si>
  <si>
    <t>NEDENSTÅENDE OPLYSES FOR FORBUDSPERIODEN, HVIS DER HAR VÆRET ÅBNINGSFORBUD I DELE AF KOMPENSATIONSPERIODEN</t>
  </si>
  <si>
    <t>Reduktion i pct.</t>
  </si>
  <si>
    <t>Faktisk kompensationsbeløb ekskl. eventuel reduktion og godtgørelse af revisorudgifter</t>
  </si>
  <si>
    <t>Forventet kompensationsbeløb ekskl. eventuel reduktion og godtgørelse af revisorudgifter</t>
  </si>
  <si>
    <t>FAKTISK KOMPENSATIONSBELØB</t>
  </si>
  <si>
    <t>EFTERREGULERING (- INSTITUTIONEN SKAL TILBAGEBETALE, + INSTITUTIONEN HAR KOMPENSATION TIL GODE)</t>
  </si>
  <si>
    <t>Institutionens seneste resultat ved ansøgningstidspunktet, hvis resultatet var negativt</t>
  </si>
  <si>
    <t>Er institutionens resultat for kompensationsperioden negativt?</t>
  </si>
  <si>
    <t>Institutionens resultat i kompensationsperioden 9. marts 2020 til 8. juli 2020</t>
  </si>
  <si>
    <t>Oplys perioden for det seneste resultat</t>
  </si>
  <si>
    <t>Opgørelse af seneste resultat</t>
  </si>
  <si>
    <t>Årsregnskab med balancedag den 28. februar 2019 eller senere</t>
  </si>
  <si>
    <t>Årets resultat for kalenderåret 2019</t>
  </si>
  <si>
    <t>Halvårsregnskab med balancedag den 31. august 2019 eller senere</t>
  </si>
  <si>
    <t>Kvartalsregnskab med balancedag den 30. november 2019 eller senere</t>
  </si>
  <si>
    <t>Husleje</t>
  </si>
  <si>
    <t>Leje- og leasingomkostninger</t>
  </si>
  <si>
    <t>Nødvendig vedligeholdelse af materielle anlægsaktiver og lejede/leasede aktiver</t>
  </si>
  <si>
    <t>Omkostninger til el og opvarmning</t>
  </si>
  <si>
    <t>Ejendomskatter</t>
  </si>
  <si>
    <t>Nødvendige rengøring</t>
  </si>
  <si>
    <t>Afskrivninger af materielle og immaterielle anlægsaktiver</t>
  </si>
  <si>
    <t>Forventet foreløbig kompensationsbeløb ved intet åbningsforbud eller åbningsforbud hele perioden</t>
  </si>
  <si>
    <t>Bilag til kompensation af faste omkostninger - Kontrol imellem revisorerklæring og ansøgning</t>
  </si>
  <si>
    <t xml:space="preserve">Revisorerklæring </t>
  </si>
  <si>
    <t>Kontrol</t>
  </si>
  <si>
    <t>Realiseret omsætning</t>
  </si>
  <si>
    <t>Realiserede faste omkostninger</t>
  </si>
  <si>
    <t>Periode fra:</t>
  </si>
  <si>
    <t>Periode til:</t>
  </si>
  <si>
    <t>Institution</t>
  </si>
  <si>
    <t>Revisor MNE nr.</t>
  </si>
  <si>
    <t>Vedligeholdelse af materielle anlægsaktiver og lejede/leasede aktiver</t>
  </si>
  <si>
    <t>Rengøring</t>
  </si>
  <si>
    <t>Faktisk omsætning</t>
  </si>
  <si>
    <t>Faktiske faste omkostninger</t>
  </si>
  <si>
    <t>Forventet resultat i kompensationsperioden</t>
  </si>
  <si>
    <t>Faktisk resultat for kompensationsperioden</t>
  </si>
  <si>
    <t>Bilag til kompensation af faste omkostninger - Kontrol imellem revisorerklæring og afrapportering</t>
  </si>
  <si>
    <t>Revisorerklæring</t>
  </si>
  <si>
    <t xml:space="preserve">Sagsbehandling </t>
  </si>
  <si>
    <t>Sagsbehandling</t>
  </si>
  <si>
    <t>Seneste resultat</t>
  </si>
  <si>
    <t>Øvrige realiserede faste omkostninger</t>
  </si>
  <si>
    <t>Forventet variable omkostninger i kompensationsperioden</t>
  </si>
  <si>
    <t>Godtgørelsen til revision kan maksimalt udgøre 16.000 kr. ekskl. moms.</t>
  </si>
  <si>
    <t>Revisorudgifter ekskl. moms</t>
  </si>
  <si>
    <t>Forskel</t>
  </si>
  <si>
    <t>Indtast beløb</t>
  </si>
  <si>
    <t>Bilag til kompensation af faste omkostninger - ansøgning (version 2)</t>
  </si>
  <si>
    <t>Kompensationsbeløb fra ansøgning</t>
  </si>
  <si>
    <r>
      <t xml:space="preserve">Alle hvide felter i kolonne B </t>
    </r>
    <r>
      <rPr>
        <u/>
        <sz val="11"/>
        <color theme="1"/>
        <rFont val="Calibri"/>
        <family val="2"/>
        <scheme val="minor"/>
      </rPr>
      <t>skal</t>
    </r>
    <r>
      <rPr>
        <sz val="11"/>
        <color theme="1"/>
        <rFont val="Calibri"/>
        <family val="2"/>
        <scheme val="minor"/>
      </rPr>
      <t xml:space="preserve"> udfyldes. Hvis beløbet er 0, oplyses dette. Enkelte grå felter kan skifte til hvid undervejs afhængig af de indtastede oplysninger; udfyld da også disse.</t>
    </r>
  </si>
  <si>
    <t>Bilag til kompensation af faste omkostninger - ansøgning (version 1)</t>
  </si>
  <si>
    <t>Hvis reduktionen er mere end 50 pct. af kompensationsbeløbet, kan Socialstyrelsen efter en konkret vurdering af institutionens forventede negative resultat og variable omkostninger i kompensationsperioden fastholde en udbetaling på 50 pct. af kompensationsbeløbet.</t>
  </si>
  <si>
    <t>Socialstyrelsen fastholder en udbetaling på 50 pct. af kompensationsbeløbet efter en konkret vurdering</t>
  </si>
  <si>
    <t>Indtast oplysninger fra revisorerklæringen i kolonnen : "Revisorerklæring"</t>
  </si>
  <si>
    <t>Bilag til kompensation af faste omkostninger - afrapportering (version 1)</t>
  </si>
  <si>
    <t>Op/nedskaleret realiserede faste omkostninger svarende til perioden med åbningsforbud</t>
  </si>
  <si>
    <r>
      <t xml:space="preserve">Alle hvide felter i kolonne B </t>
    </r>
    <r>
      <rPr>
        <u/>
        <sz val="11"/>
        <color theme="1"/>
        <rFont val="Calibri"/>
        <family val="2"/>
        <scheme val="minor"/>
      </rPr>
      <t>skal</t>
    </r>
    <r>
      <rPr>
        <sz val="11"/>
        <color theme="1"/>
        <rFont val="Calibri"/>
        <family val="2"/>
        <scheme val="minor"/>
      </rPr>
      <t xml:space="preserve"> udfyldes. Hvis beløbet er 0, oplyses dette. De grå felter beregnes automatisk.
Enkelte grå felter kan skifte til hvid undervejs afhængig af de indtastede oplysninger; disse skal i så fald udfyldes.</t>
    </r>
  </si>
  <si>
    <t>01-12-2019 til 29-02-2020</t>
  </si>
  <si>
    <t>Opskaleret kommerciel omsætning svarende til en periode på tre måneder (institutioner stiftet efter 1. dec. 2019)</t>
  </si>
  <si>
    <t>Realiseret omsætning i alt i den angivet periode</t>
  </si>
  <si>
    <t>Realiseret kommerciel omsætning i alt i den angivne perioden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</si>
</sst>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 #,##0.00\ &quot;kr.&quot;_-;\-* #,##0.00\ &quot;kr.&quot;_-;_-* &quot;-&quot;??\ &quot;kr.&quot;_-;_-@_-"/>
    <numFmt numFmtId="43" formatCode="_-* #,##0.00_-;\-* #,##0.00_-;_-* &quot;-&quot;??_-;_-@_-"/>
    <numFmt numFmtId="164" formatCode="#,##0.00\ &quot;kr.&quot;"/>
  </numFmts>
  <fonts count="6" x14ac:knownFonts="1">
    <font>
      <sz val="11"/>
      <color theme="1"/>
      <name val="Calibri"/>
      <family val="2"/>
      <scheme val="minor"/>
    </font>
    <font>
      <b/>
      <sz val="11"/>
      <color theme="1"/>
      <name val="Calibri"/>
      <family val="2"/>
      <scheme val="minor"/>
    </font>
    <font>
      <u/>
      <sz val="11"/>
      <color theme="1"/>
      <name val="Calibri"/>
      <family val="2"/>
      <scheme val="minor"/>
    </font>
    <font>
      <sz val="11"/>
      <color theme="1"/>
      <name val="Calibri"/>
      <family val="2"/>
      <scheme val="minor"/>
    </font>
    <font>
      <sz val="9"/>
      <color indexed="81"/>
      <name val="Tahoma"/>
      <family val="2"/>
    </font>
    <font>
      <b/>
      <sz val="11"/>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theme="5"/>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rgb="FFFFFF00"/>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s>
  <cellStyleXfs count="4">
    <xf numFmtId="0" fontId="0" fillId="0" borderId="0"/>
    <xf numFmtId="9"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cellStyleXfs>
  <cellXfs count="124">
    <xf numFmtId="0" fontId="0" fillId="0" borderId="0" xfId="0"/>
    <xf numFmtId="0" fontId="1" fillId="0" borderId="1" xfId="0" applyFont="1" applyBorder="1"/>
    <xf numFmtId="0" fontId="0" fillId="0" borderId="1" xfId="0" applyBorder="1"/>
    <xf numFmtId="0" fontId="1" fillId="0" borderId="0" xfId="0" applyFont="1" applyBorder="1"/>
    <xf numFmtId="0" fontId="1" fillId="0" borderId="0" xfId="0" applyFont="1"/>
    <xf numFmtId="14" fontId="0" fillId="0" borderId="0" xfId="0" applyNumberFormat="1"/>
    <xf numFmtId="14" fontId="0" fillId="2" borderId="0" xfId="0" applyNumberFormat="1" applyFill="1"/>
    <xf numFmtId="0" fontId="1" fillId="2" borderId="0" xfId="0" applyFont="1" applyFill="1"/>
    <xf numFmtId="0" fontId="1" fillId="2" borderId="0" xfId="0" applyFont="1" applyFill="1" applyBorder="1"/>
    <xf numFmtId="0" fontId="0" fillId="0" borderId="0" xfId="0" applyBorder="1"/>
    <xf numFmtId="0" fontId="0" fillId="2" borderId="0" xfId="0" applyFill="1" applyBorder="1"/>
    <xf numFmtId="14" fontId="0" fillId="2" borderId="0" xfId="0" applyNumberFormat="1" applyFill="1" applyAlignment="1" applyProtection="1">
      <alignment horizontal="right"/>
      <protection locked="0"/>
    </xf>
    <xf numFmtId="164" fontId="0" fillId="0" borderId="0" xfId="0" applyNumberFormat="1" applyProtection="1">
      <protection locked="0"/>
    </xf>
    <xf numFmtId="0" fontId="0" fillId="0" borderId="0" xfId="0" applyBorder="1" applyAlignment="1" applyProtection="1">
      <alignment horizontal="right"/>
      <protection locked="0"/>
    </xf>
    <xf numFmtId="14" fontId="0" fillId="0" borderId="0" xfId="0" applyNumberFormat="1" applyFill="1" applyProtection="1">
      <protection locked="0"/>
    </xf>
    <xf numFmtId="0" fontId="1" fillId="0" borderId="0" xfId="0" applyFont="1" applyFill="1"/>
    <xf numFmtId="0" fontId="0" fillId="2" borderId="0" xfId="0" applyFill="1"/>
    <xf numFmtId="0" fontId="0" fillId="2" borderId="0" xfId="0" applyFont="1" applyFill="1"/>
    <xf numFmtId="0" fontId="1" fillId="2" borderId="2" xfId="0" applyFont="1" applyFill="1" applyBorder="1"/>
    <xf numFmtId="0" fontId="1" fillId="0" borderId="2" xfId="0" applyFont="1" applyBorder="1"/>
    <xf numFmtId="49" fontId="0" fillId="2" borderId="0" xfId="0" applyNumberFormat="1" applyFill="1" applyProtection="1">
      <protection locked="0"/>
    </xf>
    <xf numFmtId="10" fontId="0" fillId="2" borderId="0" xfId="0" applyNumberFormat="1" applyFill="1" applyProtection="1">
      <protection hidden="1"/>
    </xf>
    <xf numFmtId="1" fontId="0" fillId="2" borderId="0" xfId="0" applyNumberFormat="1" applyFill="1" applyProtection="1">
      <protection hidden="1"/>
    </xf>
    <xf numFmtId="164" fontId="0" fillId="2" borderId="2" xfId="0" applyNumberFormat="1" applyFill="1" applyBorder="1" applyProtection="1">
      <protection hidden="1"/>
    </xf>
    <xf numFmtId="0" fontId="0" fillId="0" borderId="0" xfId="0" applyFill="1"/>
    <xf numFmtId="0" fontId="0" fillId="0" borderId="0" xfId="0" applyProtection="1">
      <protection hidden="1"/>
    </xf>
    <xf numFmtId="164" fontId="0" fillId="2" borderId="0" xfId="0" applyNumberFormat="1" applyFill="1" applyProtection="1">
      <protection locked="0"/>
    </xf>
    <xf numFmtId="0" fontId="1" fillId="3" borderId="0" xfId="0" applyFont="1" applyFill="1"/>
    <xf numFmtId="10" fontId="0" fillId="3" borderId="0" xfId="0" applyNumberFormat="1" applyFill="1" applyProtection="1">
      <protection hidden="1"/>
    </xf>
    <xf numFmtId="1" fontId="0" fillId="3" borderId="0" xfId="0" applyNumberFormat="1" applyFill="1" applyProtection="1">
      <protection hidden="1"/>
    </xf>
    <xf numFmtId="164" fontId="0" fillId="2" borderId="0" xfId="0" applyNumberFormat="1" applyFill="1" applyProtection="1">
      <protection hidden="1"/>
    </xf>
    <xf numFmtId="0" fontId="1" fillId="0" borderId="3" xfId="0" applyFont="1" applyBorder="1"/>
    <xf numFmtId="0" fontId="1" fillId="2" borderId="1" xfId="0" applyFont="1" applyFill="1" applyBorder="1"/>
    <xf numFmtId="164" fontId="0" fillId="2" borderId="1" xfId="0" applyNumberFormat="1" applyFill="1" applyBorder="1" applyAlignment="1" applyProtection="1">
      <protection hidden="1"/>
    </xf>
    <xf numFmtId="164" fontId="1" fillId="2" borderId="2" xfId="0" applyNumberFormat="1" applyFont="1" applyFill="1" applyBorder="1" applyProtection="1">
      <protection hidden="1"/>
    </xf>
    <xf numFmtId="0" fontId="0" fillId="0" borderId="0" xfId="0" applyFill="1" applyAlignment="1">
      <alignment wrapText="1"/>
    </xf>
    <xf numFmtId="10" fontId="0" fillId="0" borderId="0" xfId="0" applyNumberFormat="1" applyFill="1"/>
    <xf numFmtId="0" fontId="0" fillId="2" borderId="0" xfId="0" applyFont="1" applyFill="1" applyBorder="1" applyAlignment="1">
      <alignment wrapText="1"/>
    </xf>
    <xf numFmtId="0" fontId="0" fillId="0" borderId="0" xfId="0" applyProtection="1"/>
    <xf numFmtId="0" fontId="0" fillId="2" borderId="0" xfId="0" applyFill="1" applyProtection="1">
      <protection hidden="1"/>
    </xf>
    <xf numFmtId="0" fontId="1" fillId="2" borderId="0" xfId="0" applyFont="1" applyFill="1" applyProtection="1">
      <protection hidden="1"/>
    </xf>
    <xf numFmtId="0" fontId="0" fillId="0" borderId="0" xfId="0" applyNumberFormat="1" applyAlignment="1" applyProtection="1">
      <alignment horizontal="right"/>
      <protection locked="0"/>
    </xf>
    <xf numFmtId="0" fontId="0" fillId="0" borderId="0" xfId="0" applyAlignment="1" applyProtection="1">
      <alignment horizontal="right"/>
      <protection locked="0"/>
    </xf>
    <xf numFmtId="164" fontId="0" fillId="0" borderId="0" xfId="0" applyNumberFormat="1" applyFont="1" applyFill="1" applyProtection="1">
      <protection locked="0"/>
    </xf>
    <xf numFmtId="9" fontId="0" fillId="2" borderId="0" xfId="1" applyFont="1" applyFill="1" applyProtection="1">
      <protection hidden="1"/>
    </xf>
    <xf numFmtId="14" fontId="0" fillId="2" borderId="0" xfId="0" applyNumberFormat="1" applyFill="1" applyProtection="1">
      <protection locked="0"/>
    </xf>
    <xf numFmtId="164" fontId="1" fillId="0" borderId="2" xfId="0" applyNumberFormat="1" applyFont="1" applyBorder="1" applyProtection="1">
      <protection hidden="1"/>
    </xf>
    <xf numFmtId="0" fontId="0" fillId="0" borderId="0" xfId="0" applyFill="1" applyAlignment="1" applyProtection="1">
      <alignment horizontal="right"/>
      <protection locked="0"/>
    </xf>
    <xf numFmtId="0" fontId="0" fillId="2" borderId="0" xfId="0" applyFill="1" applyAlignment="1" applyProtection="1">
      <alignment horizontal="right"/>
      <protection locked="0"/>
    </xf>
    <xf numFmtId="0" fontId="0" fillId="0" borderId="0" xfId="0" applyNumberFormat="1" applyFill="1" applyProtection="1"/>
    <xf numFmtId="0" fontId="0" fillId="2" borderId="0" xfId="0" applyFill="1" applyProtection="1"/>
    <xf numFmtId="14" fontId="0" fillId="2" borderId="0" xfId="0" applyNumberFormat="1" applyFill="1" applyProtection="1">
      <protection hidden="1"/>
    </xf>
    <xf numFmtId="0" fontId="0" fillId="2" borderId="0" xfId="0" applyFill="1" applyAlignment="1" applyProtection="1">
      <alignment horizontal="right"/>
      <protection hidden="1"/>
    </xf>
    <xf numFmtId="49" fontId="0" fillId="2" borderId="0" xfId="0" applyNumberFormat="1" applyFill="1" applyProtection="1">
      <protection hidden="1"/>
    </xf>
    <xf numFmtId="14" fontId="0" fillId="0" borderId="0" xfId="0" applyNumberFormat="1" applyFill="1" applyProtection="1">
      <protection hidden="1"/>
    </xf>
    <xf numFmtId="0" fontId="0" fillId="0" borderId="0" xfId="0" applyFont="1" applyBorder="1"/>
    <xf numFmtId="0" fontId="0" fillId="0" borderId="0" xfId="0" applyFont="1" applyFill="1" applyBorder="1"/>
    <xf numFmtId="0" fontId="0" fillId="2" borderId="0" xfId="0" applyFont="1" applyFill="1" applyBorder="1"/>
    <xf numFmtId="164" fontId="0" fillId="2" borderId="0" xfId="0" applyNumberFormat="1" applyFill="1" applyBorder="1" applyProtection="1">
      <protection hidden="1"/>
    </xf>
    <xf numFmtId="0" fontId="0" fillId="0" borderId="0" xfId="0" applyFill="1" applyBorder="1"/>
    <xf numFmtId="0" fontId="1" fillId="2" borderId="0" xfId="0" applyFont="1" applyFill="1" applyBorder="1" applyAlignment="1">
      <alignment wrapText="1"/>
    </xf>
    <xf numFmtId="0" fontId="1" fillId="0" borderId="0" xfId="0" applyFont="1" applyFill="1" applyBorder="1" applyAlignment="1">
      <alignment wrapText="1"/>
    </xf>
    <xf numFmtId="164" fontId="0" fillId="2" borderId="0" xfId="0" applyNumberFormat="1" applyFont="1" applyFill="1" applyProtection="1">
      <protection hidden="1"/>
    </xf>
    <xf numFmtId="0" fontId="1" fillId="2" borderId="3" xfId="0" applyFont="1" applyFill="1" applyBorder="1"/>
    <xf numFmtId="164" fontId="0" fillId="2" borderId="3" xfId="0" applyNumberFormat="1" applyFill="1" applyBorder="1" applyProtection="1">
      <protection hidden="1"/>
    </xf>
    <xf numFmtId="164" fontId="1" fillId="2" borderId="1" xfId="0" applyNumberFormat="1" applyFont="1" applyFill="1" applyBorder="1" applyProtection="1">
      <protection hidden="1"/>
    </xf>
    <xf numFmtId="14" fontId="0" fillId="0" borderId="0" xfId="0" applyNumberFormat="1" applyFill="1" applyAlignment="1" applyProtection="1">
      <alignment horizontal="right"/>
      <protection locked="0"/>
    </xf>
    <xf numFmtId="0" fontId="0" fillId="2" borderId="3" xfId="0" applyFill="1" applyBorder="1"/>
    <xf numFmtId="164" fontId="0" fillId="2" borderId="0" xfId="0" applyNumberFormat="1" applyFill="1" applyBorder="1" applyProtection="1"/>
    <xf numFmtId="0" fontId="0" fillId="2" borderId="1" xfId="0" applyFill="1" applyBorder="1"/>
    <xf numFmtId="0" fontId="0" fillId="0" borderId="3" xfId="0" applyFill="1" applyBorder="1"/>
    <xf numFmtId="0" fontId="0" fillId="0" borderId="1" xfId="0" applyFill="1" applyBorder="1"/>
    <xf numFmtId="0" fontId="0" fillId="0" borderId="0" xfId="0" applyFont="1"/>
    <xf numFmtId="0" fontId="0" fillId="4" borderId="0" xfId="0" applyFill="1"/>
    <xf numFmtId="0" fontId="0" fillId="5" borderId="0" xfId="0" applyFill="1"/>
    <xf numFmtId="0" fontId="5" fillId="0" borderId="0" xfId="0" applyFont="1"/>
    <xf numFmtId="0" fontId="0" fillId="5" borderId="0" xfId="0" applyFill="1" applyAlignment="1">
      <alignment horizontal="right"/>
    </xf>
    <xf numFmtId="49" fontId="0" fillId="2" borderId="0" xfId="0" applyNumberFormat="1" applyFont="1" applyFill="1" applyAlignment="1">
      <alignment horizontal="right"/>
    </xf>
    <xf numFmtId="49" fontId="0" fillId="4" borderId="0" xfId="0" applyNumberFormat="1" applyFill="1" applyAlignment="1">
      <alignment horizontal="right"/>
    </xf>
    <xf numFmtId="49" fontId="0" fillId="4" borderId="0" xfId="0" applyNumberFormat="1" applyFill="1"/>
    <xf numFmtId="0" fontId="0" fillId="4" borderId="1" xfId="0" applyFill="1" applyBorder="1"/>
    <xf numFmtId="0" fontId="0" fillId="5" borderId="1" xfId="0" applyFill="1" applyBorder="1"/>
    <xf numFmtId="0" fontId="0" fillId="2" borderId="0" xfId="0" applyFill="1" applyAlignment="1">
      <alignment horizontal="right"/>
    </xf>
    <xf numFmtId="4" fontId="0" fillId="2" borderId="0" xfId="0" applyNumberFormat="1" applyFill="1"/>
    <xf numFmtId="4" fontId="0" fillId="4" borderId="0" xfId="0" applyNumberFormat="1" applyFill="1"/>
    <xf numFmtId="4" fontId="0" fillId="5" borderId="0" xfId="0" applyNumberFormat="1" applyFill="1"/>
    <xf numFmtId="4" fontId="0" fillId="2" borderId="0" xfId="0" applyNumberFormat="1" applyFill="1" applyProtection="1">
      <protection hidden="1"/>
    </xf>
    <xf numFmtId="164" fontId="0" fillId="0" borderId="0" xfId="0" applyNumberFormat="1" applyFill="1" applyBorder="1"/>
    <xf numFmtId="0" fontId="0" fillId="2" borderId="0" xfId="0" applyNumberFormat="1" applyFont="1" applyFill="1" applyAlignment="1" applyProtection="1">
      <alignment horizontal="right"/>
      <protection locked="0"/>
    </xf>
    <xf numFmtId="10" fontId="0" fillId="0" borderId="0" xfId="0" applyNumberFormat="1" applyFill="1" applyBorder="1"/>
    <xf numFmtId="10" fontId="0" fillId="2" borderId="0" xfId="0" applyNumberFormat="1" applyFill="1" applyBorder="1" applyProtection="1">
      <protection hidden="1"/>
    </xf>
    <xf numFmtId="0" fontId="0" fillId="2" borderId="0" xfId="0" applyFill="1" applyBorder="1" applyAlignment="1" applyProtection="1">
      <alignment horizontal="right"/>
      <protection hidden="1"/>
    </xf>
    <xf numFmtId="14" fontId="0" fillId="0" borderId="0" xfId="0" applyNumberFormat="1" applyProtection="1">
      <protection hidden="1"/>
    </xf>
    <xf numFmtId="0" fontId="0" fillId="2" borderId="0" xfId="0" applyNumberFormat="1" applyFill="1" applyAlignment="1" applyProtection="1">
      <alignment horizontal="right"/>
      <protection hidden="1"/>
    </xf>
    <xf numFmtId="0" fontId="0" fillId="0" borderId="0" xfId="0" applyNumberFormat="1" applyFill="1" applyProtection="1">
      <protection hidden="1"/>
    </xf>
    <xf numFmtId="4" fontId="0" fillId="0" borderId="0" xfId="0" applyNumberFormat="1" applyFill="1" applyProtection="1">
      <protection hidden="1"/>
    </xf>
    <xf numFmtId="10" fontId="0" fillId="0" borderId="0" xfId="0" applyNumberFormat="1" applyFill="1" applyProtection="1">
      <protection hidden="1"/>
    </xf>
    <xf numFmtId="164" fontId="0" fillId="0" borderId="0" xfId="0" applyNumberFormat="1" applyProtection="1">
      <protection hidden="1"/>
    </xf>
    <xf numFmtId="164" fontId="0" fillId="2" borderId="0" xfId="0" applyNumberFormat="1" applyFill="1" applyBorder="1" applyAlignment="1" applyProtection="1">
      <alignment horizontal="right"/>
      <protection hidden="1"/>
    </xf>
    <xf numFmtId="0" fontId="0" fillId="2" borderId="0" xfId="0" applyNumberFormat="1" applyFill="1" applyProtection="1">
      <protection hidden="1"/>
    </xf>
    <xf numFmtId="164" fontId="0" fillId="0" borderId="0" xfId="0" applyNumberFormat="1"/>
    <xf numFmtId="164" fontId="0" fillId="0" borderId="0" xfId="0" applyNumberFormat="1" applyAlignment="1" applyProtection="1">
      <alignment horizontal="right"/>
      <protection locked="0"/>
    </xf>
    <xf numFmtId="164" fontId="0" fillId="0" borderId="3" xfId="0" applyNumberFormat="1" applyBorder="1" applyAlignment="1" applyProtection="1">
      <alignment horizontal="right"/>
      <protection locked="0"/>
    </xf>
    <xf numFmtId="164" fontId="0" fillId="0" borderId="1" xfId="0" applyNumberFormat="1" applyBorder="1" applyAlignment="1" applyProtection="1">
      <alignment horizontal="right"/>
      <protection locked="0"/>
    </xf>
    <xf numFmtId="164" fontId="0" fillId="0" borderId="0" xfId="0" applyNumberFormat="1" applyFont="1" applyFill="1" applyAlignment="1" applyProtection="1">
      <alignment horizontal="right"/>
      <protection locked="0"/>
    </xf>
    <xf numFmtId="164" fontId="0" fillId="2" borderId="0" xfId="0" applyNumberFormat="1" applyFill="1" applyAlignment="1" applyProtection="1">
      <alignment horizontal="right"/>
      <protection locked="0"/>
    </xf>
    <xf numFmtId="164" fontId="0" fillId="2" borderId="3" xfId="0" applyNumberFormat="1" applyFill="1" applyBorder="1" applyAlignment="1" applyProtection="1">
      <alignment horizontal="right"/>
      <protection locked="0"/>
    </xf>
    <xf numFmtId="164" fontId="0" fillId="2" borderId="0" xfId="0" applyNumberFormat="1" applyFill="1" applyBorder="1" applyAlignment="1" applyProtection="1">
      <alignment horizontal="right"/>
      <protection locked="0"/>
    </xf>
    <xf numFmtId="164" fontId="0" fillId="2" borderId="1" xfId="0" applyNumberFormat="1" applyFill="1" applyBorder="1" applyAlignment="1" applyProtection="1">
      <alignment horizontal="right"/>
      <protection locked="0"/>
    </xf>
    <xf numFmtId="10" fontId="0" fillId="2" borderId="0" xfId="0" applyNumberFormat="1" applyFill="1" applyAlignment="1" applyProtection="1">
      <alignment horizontal="right"/>
      <protection locked="0"/>
    </xf>
    <xf numFmtId="164" fontId="0" fillId="0" borderId="0" xfId="2" applyNumberFormat="1" applyFont="1" applyBorder="1" applyAlignment="1" applyProtection="1">
      <alignment horizontal="right"/>
      <protection locked="0"/>
    </xf>
    <xf numFmtId="164" fontId="0" fillId="0" borderId="0" xfId="0" applyNumberFormat="1" applyBorder="1" applyAlignment="1" applyProtection="1">
      <alignment horizontal="right"/>
      <protection locked="0"/>
    </xf>
    <xf numFmtId="10" fontId="0" fillId="0" borderId="0" xfId="0" applyNumberFormat="1" applyFill="1" applyAlignment="1" applyProtection="1">
      <alignment horizontal="right"/>
      <protection locked="0"/>
    </xf>
    <xf numFmtId="164" fontId="0" fillId="2" borderId="0" xfId="0" applyNumberFormat="1" applyFill="1" applyAlignment="1" applyProtection="1">
      <alignment horizontal="right"/>
      <protection hidden="1"/>
    </xf>
    <xf numFmtId="0" fontId="0" fillId="0" borderId="0" xfId="0" applyNumberFormat="1"/>
    <xf numFmtId="0" fontId="0" fillId="0" borderId="0" xfId="0" applyNumberFormat="1" applyFill="1" applyAlignment="1" applyProtection="1">
      <alignment horizontal="right"/>
      <protection locked="0"/>
    </xf>
    <xf numFmtId="0" fontId="0" fillId="0" borderId="0" xfId="0" applyNumberFormat="1" applyFill="1" applyProtection="1">
      <protection locked="0"/>
    </xf>
    <xf numFmtId="0" fontId="0" fillId="2" borderId="0" xfId="0" applyNumberFormat="1" applyFill="1" applyProtection="1">
      <protection locked="0"/>
    </xf>
    <xf numFmtId="0" fontId="0" fillId="6" borderId="0" xfId="0" applyFill="1"/>
    <xf numFmtId="0" fontId="1" fillId="6" borderId="0" xfId="0" applyFont="1" applyFill="1"/>
    <xf numFmtId="0" fontId="0" fillId="6" borderId="0" xfId="0" applyFill="1" applyAlignment="1">
      <alignment horizontal="right"/>
    </xf>
    <xf numFmtId="14" fontId="0" fillId="6" borderId="0" xfId="0" applyNumberFormat="1" applyFill="1"/>
    <xf numFmtId="14" fontId="0" fillId="2" borderId="0" xfId="0" applyNumberFormat="1" applyFill="1" applyAlignment="1">
      <alignment horizontal="right"/>
    </xf>
    <xf numFmtId="0" fontId="0" fillId="0" borderId="0" xfId="3" applyNumberFormat="1" applyFont="1" applyFill="1" applyAlignment="1" applyProtection="1">
      <alignment horizontal="right"/>
      <protection locked="0"/>
    </xf>
  </cellXfs>
  <cellStyles count="4">
    <cellStyle name="Komma" xfId="2" builtinId="3"/>
    <cellStyle name="Normal" xfId="0" builtinId="0"/>
    <cellStyle name="Procent" xfId="1" builtinId="5"/>
    <cellStyle name="Valuta" xfId="3" builtinId="4"/>
  </cellStyles>
  <dxfs count="98">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0000"/>
        </patternFill>
      </fill>
    </dxf>
    <dxf>
      <fill>
        <patternFill>
          <bgColor rgb="FFFF0000"/>
        </patternFill>
      </fill>
    </dxf>
    <dxf>
      <fill>
        <patternFill patternType="none">
          <bgColor auto="1"/>
        </patternFill>
      </fill>
    </dxf>
    <dxf>
      <fill>
        <patternFill patternType="none">
          <bgColor auto="1"/>
        </patternFill>
      </fill>
    </dxf>
    <dxf>
      <fill>
        <patternFill patternType="none">
          <bgColor auto="1"/>
        </patternFill>
      </fill>
    </dxf>
    <dxf>
      <font>
        <b/>
        <i val="0"/>
      </font>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0000"/>
        </patternFill>
      </fill>
    </dxf>
    <dxf>
      <fill>
        <patternFill patternType="none">
          <bgColor auto="1"/>
        </patternFill>
      </fill>
    </dxf>
    <dxf>
      <fill>
        <patternFill patternType="none">
          <bgColor auto="1"/>
        </patternFill>
      </fill>
    </dxf>
    <dxf>
      <fill>
        <patternFill>
          <bgColor rgb="FFFF0000"/>
        </patternFill>
      </fill>
    </dxf>
    <dxf>
      <fill>
        <patternFill>
          <bgColor rgb="FFFF0000"/>
        </patternFill>
      </fill>
    </dxf>
    <dxf>
      <font>
        <b/>
        <i val="0"/>
      </font>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0000"/>
        </patternFill>
      </fill>
    </dxf>
    <dxf>
      <fill>
        <patternFill>
          <bgColor rgb="FFFF0000"/>
        </patternFill>
      </fill>
    </dxf>
    <dxf>
      <fill>
        <patternFill patternType="none">
          <bgColor auto="1"/>
        </patternFill>
      </fill>
    </dxf>
    <dxf>
      <fill>
        <patternFill patternType="none">
          <bgColor auto="1"/>
        </patternFill>
      </fill>
    </dxf>
    <dxf>
      <fill>
        <patternFill patternType="none">
          <bgColor auto="1"/>
        </patternFill>
      </fill>
    </dxf>
    <dxf>
      <font>
        <b/>
        <i val="0"/>
      </font>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tema">
  <a:themeElements>
    <a:clrScheme name="Kont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ont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0"/>
  <sheetViews>
    <sheetView tabSelected="1" zoomScaleNormal="100" workbookViewId="0">
      <selection activeCell="B11" sqref="B11"/>
    </sheetView>
  </sheetViews>
  <sheetFormatPr defaultRowHeight="15" x14ac:dyDescent="0.25"/>
  <cols>
    <col min="1" max="1" width="102.5703125" customWidth="1"/>
    <col min="2" max="2" width="69.28515625" customWidth="1"/>
    <col min="4" max="6" width="10.42578125" bestFit="1" customWidth="1"/>
  </cols>
  <sheetData>
    <row r="1" spans="1:4" x14ac:dyDescent="0.25">
      <c r="A1" s="1" t="s">
        <v>127</v>
      </c>
      <c r="B1" s="2"/>
    </row>
    <row r="2" spans="1:4" ht="28.9" customHeight="1" x14ac:dyDescent="0.25">
      <c r="A2" s="37" t="s">
        <v>133</v>
      </c>
      <c r="B2" s="10"/>
    </row>
    <row r="3" spans="1:4" x14ac:dyDescent="0.25">
      <c r="A3" s="3"/>
      <c r="B3" s="9"/>
    </row>
    <row r="4" spans="1:4" x14ac:dyDescent="0.25">
      <c r="A4" s="3" t="s">
        <v>11</v>
      </c>
      <c r="B4" s="13"/>
    </row>
    <row r="5" spans="1:4" x14ac:dyDescent="0.25">
      <c r="A5" s="4" t="s">
        <v>0</v>
      </c>
      <c r="B5" s="41"/>
    </row>
    <row r="6" spans="1:4" x14ac:dyDescent="0.25">
      <c r="A6" s="7" t="s">
        <v>2</v>
      </c>
      <c r="B6" s="122">
        <v>44174</v>
      </c>
      <c r="D6" s="5"/>
    </row>
    <row r="7" spans="1:4" x14ac:dyDescent="0.25">
      <c r="A7" s="7" t="s">
        <v>3</v>
      </c>
      <c r="B7" s="6">
        <v>44377</v>
      </c>
    </row>
    <row r="8" spans="1:4" x14ac:dyDescent="0.25">
      <c r="A8" s="4"/>
      <c r="B8" s="114"/>
    </row>
    <row r="9" spans="1:4" x14ac:dyDescent="0.25">
      <c r="A9" s="4" t="s">
        <v>33</v>
      </c>
      <c r="B9" s="41" t="s">
        <v>7</v>
      </c>
    </row>
    <row r="10" spans="1:4" x14ac:dyDescent="0.25">
      <c r="A10" s="4"/>
      <c r="B10" s="114"/>
    </row>
    <row r="11" spans="1:4" x14ac:dyDescent="0.25">
      <c r="A11" s="4" t="s">
        <v>51</v>
      </c>
      <c r="B11" s="114"/>
    </row>
    <row r="12" spans="1:4" x14ac:dyDescent="0.25">
      <c r="A12" t="s">
        <v>50</v>
      </c>
      <c r="B12" s="101"/>
    </row>
    <row r="13" spans="1:4" x14ac:dyDescent="0.25">
      <c r="B13" s="114"/>
    </row>
    <row r="14" spans="1:4" x14ac:dyDescent="0.25">
      <c r="A14" s="4" t="s">
        <v>26</v>
      </c>
      <c r="B14" s="41" t="s">
        <v>7</v>
      </c>
    </row>
    <row r="15" spans="1:4" x14ac:dyDescent="0.25">
      <c r="A15" s="7" t="s">
        <v>35</v>
      </c>
      <c r="B15" s="11" t="s">
        <v>7</v>
      </c>
    </row>
    <row r="16" spans="1:4" x14ac:dyDescent="0.25">
      <c r="A16" s="7" t="s">
        <v>36</v>
      </c>
      <c r="B16" s="11" t="s">
        <v>7</v>
      </c>
    </row>
    <row r="17" spans="1:6" x14ac:dyDescent="0.25">
      <c r="A17" s="7" t="s">
        <v>28</v>
      </c>
      <c r="B17" s="11" t="s">
        <v>7</v>
      </c>
    </row>
    <row r="18" spans="1:6" x14ac:dyDescent="0.25">
      <c r="A18" s="7" t="s">
        <v>39</v>
      </c>
      <c r="B18" s="11" t="s">
        <v>7</v>
      </c>
      <c r="E18" s="5"/>
      <c r="F18" s="5"/>
    </row>
    <row r="19" spans="1:6" x14ac:dyDescent="0.25">
      <c r="A19" s="25" t="s">
        <v>136</v>
      </c>
      <c r="B19" s="101"/>
    </row>
    <row r="20" spans="1:6" x14ac:dyDescent="0.25">
      <c r="A20" s="25" t="s">
        <v>137</v>
      </c>
      <c r="B20" s="101"/>
    </row>
    <row r="21" spans="1:6" x14ac:dyDescent="0.25">
      <c r="A21" s="39" t="s">
        <v>135</v>
      </c>
      <c r="B21" s="30" t="str">
        <f xml:space="preserve">
IF(OR(B17="Vælg/Indtast",B18="Vælg/Indtast",B20=""),
"",
IF(
AND(B14="Institution stiftet efter 1. dec. 2019",
AND(B17&lt;&gt;"",B18&lt;&gt;""),
OR(
AND(AND(B17&gt;=DATE(2019,12,1),B17&lt;=DATE(2019,12,31)),AND(B18&gt;=DATE(2020,1,1),B18&lt;=DATE(2020,1,31)),_xlfn.DAYS(B18,B17)+1&gt;=31),
AND(AND(B17&gt;=DATE(2020,1,1),B17&lt;=DATE(2020,1,30)),AND(B18&gt;=DATE(2020,2,1),B18&lt;=DATE(2020,2,29)),_xlfn.DAYS(B18,B17)+1&gt;=31),
AND(AND(B17&gt;=DATE(2020,2,1),B17&lt;=DATE(2020,2,29)),AND(B18&gt;=DATE(2020,3,1),B18&lt;=DATE(2020,3,9)),_xlfn.DAYS(B18,B17)+1&gt;=29),
AND(AND(B17&gt;=DATE(2019,12,1),B17&lt;=DATE(2020,10,31)),AND(B18&gt;=DATE(2020,1,1),B18&lt;=DATE(2020,11,30)),_xlfn.DAYS(B18,B17)+1&gt;=30),
AND(AND(B17&gt;=DATE(2019,12,1),B17&lt;=DATE(2019,12,31)),AND(B18&gt;=DATE(2020,2,1),B18&lt;=DATE(2020,2,29))),
AND(AND(B17&gt;=DATE(2019,12,1),B17&lt;=DATE(2019,12,31)),AND(B18&gt;=DATE(2020,3,1),B18&lt;=DATE(2020,3,9))),
AND(AND(B17&gt;=DATE(2020,1,1),B17&lt;=DATE(2020,1,31)),AND(B18&gt;=DATE(2020,3,1),B18&lt;=DATE(2020,3,9)))
)),IF(DATEDIF(B17,B18,"m")=3,B20,
IF(DATEDIF(B17,B18,"m")&gt;3,"Referenceperioden skal maksimalt være 3 måneder.",
IF(DATEDIF(B17,B18,"m")&lt;3,B20*(91/(_xlfn.DAYS(B18,B17)+1)),
IF(B14&lt;&gt;"Institution stiftet efter 1. dec. 2019","",
"Referenceperioden skal minimum opgøre en måned."))
)),IF(AND(ISBLANK(B17),ISBLANK(B18)),"",
IF(DATEDIF(B17,B18,"d")&lt;31,B20*30,""))))</f>
        <v/>
      </c>
    </row>
    <row r="22" spans="1:6" x14ac:dyDescent="0.25">
      <c r="B22" s="49"/>
    </row>
    <row r="23" spans="1:6" x14ac:dyDescent="0.25">
      <c r="A23" s="4" t="s">
        <v>53</v>
      </c>
      <c r="B23" s="42" t="s">
        <v>7</v>
      </c>
    </row>
    <row r="24" spans="1:6" x14ac:dyDescent="0.25">
      <c r="A24" s="7" t="s">
        <v>28</v>
      </c>
      <c r="B24" s="11" t="s">
        <v>7</v>
      </c>
    </row>
    <row r="25" spans="1:6" x14ac:dyDescent="0.25">
      <c r="A25" s="7" t="s">
        <v>29</v>
      </c>
      <c r="B25" s="11" t="s">
        <v>7</v>
      </c>
    </row>
    <row r="26" spans="1:6" x14ac:dyDescent="0.25">
      <c r="A26" s="15"/>
      <c r="B26" s="115"/>
    </row>
    <row r="27" spans="1:6" x14ac:dyDescent="0.25">
      <c r="A27" s="15" t="str">
        <f>"Oplys realiserede faste omkostninger "&amp;IF(B23="Vælg/Indtast","",IF(B23="Institution stiftet efter 1. dec. 2019",IF(OR(B24="",B25=""),"","i perioden "&amp;TEXT(B24,"dd-mm-åååå")&amp;" til "&amp;TEXT(B25,"dd-mm-åååå")),IF(B23="01-12-2019 til 29-02-2020","i perioden "&amp;B23)))</f>
        <v xml:space="preserve">Oplys realiserede faste omkostninger </v>
      </c>
      <c r="B27" s="123"/>
    </row>
    <row r="28" spans="1:6" x14ac:dyDescent="0.25">
      <c r="A28" s="15"/>
      <c r="B28" s="66"/>
    </row>
    <row r="29" spans="1:6" x14ac:dyDescent="0.25">
      <c r="A29" s="70" t="s">
        <v>90</v>
      </c>
      <c r="B29" s="102"/>
    </row>
    <row r="30" spans="1:6" x14ac:dyDescent="0.25">
      <c r="A30" s="59" t="s">
        <v>91</v>
      </c>
      <c r="B30" s="101"/>
    </row>
    <row r="31" spans="1:6" x14ac:dyDescent="0.25">
      <c r="A31" s="59" t="s">
        <v>107</v>
      </c>
      <c r="B31" s="101"/>
    </row>
    <row r="32" spans="1:6" x14ac:dyDescent="0.25">
      <c r="A32" s="59" t="s">
        <v>93</v>
      </c>
      <c r="B32" s="101"/>
    </row>
    <row r="33" spans="1:2" x14ac:dyDescent="0.25">
      <c r="A33" s="59" t="s">
        <v>94</v>
      </c>
      <c r="B33" s="101"/>
    </row>
    <row r="34" spans="1:2" x14ac:dyDescent="0.25">
      <c r="A34" s="59" t="s">
        <v>108</v>
      </c>
      <c r="B34" s="101"/>
    </row>
    <row r="35" spans="1:2" x14ac:dyDescent="0.25">
      <c r="A35" s="59" t="s">
        <v>96</v>
      </c>
      <c r="B35" s="101"/>
    </row>
    <row r="36" spans="1:2" x14ac:dyDescent="0.25">
      <c r="A36" s="71" t="s">
        <v>118</v>
      </c>
      <c r="B36" s="103"/>
    </row>
    <row r="37" spans="1:2" x14ac:dyDescent="0.25">
      <c r="A37" s="15"/>
      <c r="B37" s="115"/>
    </row>
    <row r="38" spans="1:2" x14ac:dyDescent="0.25">
      <c r="A38" s="39" t="str">
        <f>"Realiserede faste omkostninger "&amp;IF(B23="Vælg/Indtast","",IF(B23="Institution stiftet efter 1. dec. 2019",IF(OR(B24="",B25=""),"","i perioden "&amp;TEXT(B24,"dd-mm-åååå")&amp;" til "&amp;TEXT(B25,"dd-mm-åååå")),IF(B23="01-12-2019 til 29-02-2020","i perioden "&amp;B23)))</f>
        <v xml:space="preserve">Realiserede faste omkostninger </v>
      </c>
      <c r="B38" s="30" t="str">
        <f>IF(SUM(B29:B36)=0,"",SUM(B29:B36))</f>
        <v/>
      </c>
    </row>
    <row r="39" spans="1:2" x14ac:dyDescent="0.25">
      <c r="A39" s="38" t="s">
        <v>15</v>
      </c>
      <c r="B39" s="104"/>
    </row>
    <row r="40" spans="1:2" x14ac:dyDescent="0.25">
      <c r="A40" s="17" t="s">
        <v>13</v>
      </c>
      <c r="B40" s="21" t="str">
        <f>IFERROR(IF(AND(ISNUMBER(B38),ISNUMBER(B39)),(B39-B38)/B38,""),"")</f>
        <v/>
      </c>
    </row>
    <row r="41" spans="1:2" x14ac:dyDescent="0.25">
      <c r="A41" s="16" t="s">
        <v>14</v>
      </c>
      <c r="B41" s="20"/>
    </row>
    <row r="42" spans="1:2" x14ac:dyDescent="0.25">
      <c r="B42" s="116"/>
    </row>
    <row r="43" spans="1:2" ht="14.45" hidden="1" customHeight="1" x14ac:dyDescent="0.25">
      <c r="A43" s="7" t="s">
        <v>16</v>
      </c>
      <c r="B43" s="21" t="str">
        <f>IFERROR(IF(OR(B12="",B20=""),"",(IF(B14="Institution stiftet efter 1. dec. 2019",B21,B20)-IF(ISNUMBER(B60),B60,0)-B12-IF(ISNUMBER(B54),B54,0))/(IF(B14="Institution stiftet efter 1. dec. 2019",B21,B20)-IF(ISNUMBER(B60),B60,0))),"")</f>
        <v/>
      </c>
    </row>
    <row r="44" spans="1:2" ht="12" hidden="1" customHeight="1" x14ac:dyDescent="0.25">
      <c r="A44" s="7" t="s">
        <v>54</v>
      </c>
      <c r="B44" s="22" t="str">
        <f>IF($B$43="","",IF(AND($B$9="Hele kompensationsperioden",$B$12=0),1,IF(AND($B$43&gt;=0.8,$B$43&lt;=1),2,IF(AND($B$43&gt;=0.75,$B$43&lt;0.8),3,IF(AND($B$43&gt;=0.7,$B$43&lt;0.75),4,IF(AND($B$43&gt;=0.65,$B$43&lt;=0.7),5,IF(AND($B$43&gt;=0.6,$B$43&lt;=0.65),6,IF(AND($B$43&gt;=0.55,$B$43&lt;=0.6),7,IF(AND($B$43&gt;=0.5,$B$43&lt;=0.55),8,IF(AND($B$43&gt;=0.45,$B$43&lt;=0.5),9,IF(AND($B$43&gt;=0.4,$B$43&lt;=0.45),10,IF(AND($B$43&gt;=0.35,$B$43&lt;=0.4),11,IF(AND($B$43&gt;=0.3,$B$43&lt;=0.35),12,IF($B$43&lt;0.3,"Omsætningsnedgangen opfylder ikke kravet om nedgang på minimum 30 pct."))))))))))))))</f>
        <v/>
      </c>
    </row>
    <row r="45" spans="1:2" ht="22.9" hidden="1" customHeight="1" x14ac:dyDescent="0.25">
      <c r="A45" s="7" t="s">
        <v>55</v>
      </c>
      <c r="B45" s="21" t="str">
        <f>IF(B44="","",IF(B44=1,1,IF(B44=2,0.9,IF(B44=3,0.85,IF(B44=4,0.8,IF(B44=5,0.75,IF(B44=6,0.7,IF(B44=7,0.65,IF(B44=8,0.6,IF(B44=9,0.55,IF(B44=10,0.5,IF(B44=10,0.5,IF(B44=11,0.45,IF(B44=12,0.4,IF(B44="Omsætningsnedgangen opfylder ikke kravet om nedgang på minimum 30 pct.",0)))))))))))))))</f>
        <v/>
      </c>
    </row>
    <row r="46" spans="1:2" ht="15" hidden="1" customHeight="1" x14ac:dyDescent="0.25">
      <c r="A46" s="7" t="s">
        <v>64</v>
      </c>
      <c r="B46" s="21" t="str">
        <f>IFERROR(IF(OR(B12="",B12="Indtast beløb"),"",(B20-IF(ISNUMBER(B60),B60,0))/(B19-IF(ISNUMBER(B59),B59,0))),"")</f>
        <v/>
      </c>
    </row>
    <row r="47" spans="1:2" x14ac:dyDescent="0.25">
      <c r="A47" s="15"/>
      <c r="B47" s="116"/>
    </row>
    <row r="48" spans="1:2" x14ac:dyDescent="0.25">
      <c r="A48" s="18" t="s">
        <v>97</v>
      </c>
      <c r="B48" s="23">
        <f>IF(B45="",0,IF(B44="Omsætningsnedgangen opfylder ikke kravet om nedgang på minimum 30 pct.",0,(B39-IF(ISNUMBER(B80),B80,0))*B46*B45))</f>
        <v>0</v>
      </c>
    </row>
    <row r="49" spans="1:2" x14ac:dyDescent="0.25">
      <c r="A49" s="4"/>
      <c r="B49" s="116"/>
    </row>
    <row r="50" spans="1:2" x14ac:dyDescent="0.25">
      <c r="A50" s="8" t="s">
        <v>17</v>
      </c>
      <c r="B50" s="16"/>
    </row>
    <row r="51" spans="1:2" x14ac:dyDescent="0.25">
      <c r="A51" s="16" t="s">
        <v>25</v>
      </c>
      <c r="B51" s="11" t="s">
        <v>7</v>
      </c>
    </row>
    <row r="52" spans="1:2" x14ac:dyDescent="0.25">
      <c r="A52" s="16" t="s">
        <v>18</v>
      </c>
      <c r="B52" s="11" t="s">
        <v>7</v>
      </c>
    </row>
    <row r="53" spans="1:2" x14ac:dyDescent="0.25">
      <c r="A53" s="16"/>
      <c r="B53" s="16"/>
    </row>
    <row r="54" spans="1:2" x14ac:dyDescent="0.25">
      <c r="A54" s="39" t="str">
        <f>"Forventet kommerciel omsætning i alt i forbudskompensationsperioden "&amp;IF(OR($B$51="Vælg/Indtast",$B$52="Vælg/Indtast"),"",TEXT($B$51,"dd-mm-åååå")&amp;" til "&amp;TEXT($B$52,"dd-mm-åååå"))</f>
        <v xml:space="preserve">Forventet kommerciel omsætning i alt i forbudskompensationsperioden </v>
      </c>
      <c r="B54" s="105"/>
    </row>
    <row r="55" spans="1:2" x14ac:dyDescent="0.25">
      <c r="A55" s="16"/>
      <c r="B55" s="16"/>
    </row>
    <row r="56" spans="1:2" x14ac:dyDescent="0.25">
      <c r="A56" s="7" t="s">
        <v>27</v>
      </c>
      <c r="B56" s="16"/>
    </row>
    <row r="57" spans="1:2" x14ac:dyDescent="0.25">
      <c r="A57" s="40" t="str">
        <f>"Referenceperiode start dato"&amp;" "&amp;IF($B$14="Anden referenceperiode","(i perioden "&amp;TEXT($B$15,"dd-mm-åååå")&amp;" til "&amp;TEXT($B$16,"dd-mm-åååå")&amp;")",IF($B$14="Institution stiftet efter 1. dec. 2019","(i perioden "&amp;TEXT($B$17,"dd-mm-åååå")&amp;" til "&amp;TEXT($B$18,"dd-mm-åååå")&amp;")",IF($B$14="Vælg/Indtast","","(i perioden "&amp;$B$14&amp;")")))</f>
        <v xml:space="preserve">Referenceperiode start dato </v>
      </c>
      <c r="B57" s="45"/>
    </row>
    <row r="58" spans="1:2" x14ac:dyDescent="0.25">
      <c r="A58" s="40" t="str">
        <f>"Referenceperiode slut dato"&amp;" "&amp;IF($B$14="Anden referenceperiode","(i perioden "&amp;TEXT($B$15,"dd-mm-åååå")&amp;" til "&amp;TEXT($B$16,"dd-mm-åååå")&amp;")",IF($B$14="Institution stiftet efter 1. dec. 2019","(i perioden "&amp;TEXT($B$17,"dd-mm-åååå")&amp;" til "&amp;TEXT($B$18,"dd-mm-åååå")&amp;")",IF($B$14="Vælg/Indtast","","(i perioden "&amp;$B$14&amp;")")))</f>
        <v xml:space="preserve">Referenceperiode slut dato </v>
      </c>
      <c r="B58" s="45"/>
    </row>
    <row r="59" spans="1:2" x14ac:dyDescent="0.25">
      <c r="A59" s="39" t="str">
        <f>"Realiseret omsætning i alt i forbudsreferenceperioden "&amp;IF(OR($B$57="",$B$58=""),"",TEXT($B$57,"dd-mm-åååå")&amp;" til "&amp;TEXT($B$58,"dd-mm-åååå"))</f>
        <v xml:space="preserve">Realiseret omsætning i alt i forbudsreferenceperioden </v>
      </c>
      <c r="B59" s="105"/>
    </row>
    <row r="60" spans="1:2" x14ac:dyDescent="0.25">
      <c r="A60" s="39" t="str">
        <f>"Realiseret kommerciel omsætning i alt i forbudsreferenceperioden "&amp;IF(OR($B$57="",$B$58=""),"",TEXT($B$57,"dd-mm-åååå")&amp;" til "&amp;TEXT($B$58,"dd-mm-åååå"))</f>
        <v xml:space="preserve">Realiseret kommerciel omsætning i alt i forbudsreferenceperioden </v>
      </c>
      <c r="B60" s="105"/>
    </row>
    <row r="61" spans="1:2" x14ac:dyDescent="0.25">
      <c r="A61" s="39" t="s">
        <v>66</v>
      </c>
      <c r="B61" s="30" t="str">
        <f>IFERROR(IF(ISNUMBER(B60),B60*(_xlfn.DAYS(B52,B51)+1)/(_xlfn.DAYS(B58,B57)+1),""),"")</f>
        <v/>
      </c>
    </row>
    <row r="62" spans="1:2" x14ac:dyDescent="0.25">
      <c r="A62" s="16"/>
      <c r="B62" s="16"/>
    </row>
    <row r="63" spans="1:2" x14ac:dyDescent="0.25">
      <c r="A63" s="7" t="s">
        <v>30</v>
      </c>
      <c r="B63" s="16"/>
    </row>
    <row r="64" spans="1:2" x14ac:dyDescent="0.25">
      <c r="A64" s="40" t="str">
        <f>"Referenceperiode start dato "&amp;IF($B$23="Institution stiftet efter 1. dec. 2019",IF(OR(B24="",B25=""),"","(i perioden "&amp;TEXT($B$24,"dd-mm-åååå")&amp;" til "&amp;TEXT($B$25,"dd-mm-åååå")&amp;")"),IF($B$23="Vælg/Indtast","","(i perioden "&amp;B23&amp;")"))</f>
        <v xml:space="preserve">Referenceperiode start dato </v>
      </c>
      <c r="B64" s="45"/>
    </row>
    <row r="65" spans="1:2" x14ac:dyDescent="0.25">
      <c r="A65" s="40" t="str">
        <f>"Referenceperiode slut dato "&amp;IF($B$23="Institution stiftet efter 1. dec. 2019",IF(OR(B25="",B38=""),"","(i perioden "&amp;TEXT($B$24,"dd-mm-åååå")&amp;" til "&amp;TEXT($B$25,"dd-mm-åååå")&amp;")"),IF($B$23="Vælg/Indtast","","(i perioden "&amp;B23&amp;")"))</f>
        <v xml:space="preserve">Referenceperiode slut dato </v>
      </c>
      <c r="B65" s="45"/>
    </row>
    <row r="66" spans="1:2" x14ac:dyDescent="0.25">
      <c r="A66" s="40"/>
      <c r="B66" s="117"/>
    </row>
    <row r="67" spans="1:2" x14ac:dyDescent="0.25">
      <c r="A67" s="7" t="str">
        <f>"Oplys realiserede faste omkostninger "&amp;"i perioden "&amp;IF(B64="","",TEXT(B64,"dd-mm-åååå")&amp;" til ")&amp;IF(B65="","",TEXT(B65,"dd-mm-åååå"))</f>
        <v xml:space="preserve">Oplys realiserede faste omkostninger i perioden </v>
      </c>
      <c r="B67" s="117"/>
    </row>
    <row r="68" spans="1:2" x14ac:dyDescent="0.25">
      <c r="A68" s="7"/>
      <c r="B68" s="117"/>
    </row>
    <row r="69" spans="1:2" x14ac:dyDescent="0.25">
      <c r="A69" s="67" t="s">
        <v>90</v>
      </c>
      <c r="B69" s="106"/>
    </row>
    <row r="70" spans="1:2" x14ac:dyDescent="0.25">
      <c r="A70" s="10" t="s">
        <v>91</v>
      </c>
      <c r="B70" s="107"/>
    </row>
    <row r="71" spans="1:2" x14ac:dyDescent="0.25">
      <c r="A71" s="10" t="s">
        <v>107</v>
      </c>
      <c r="B71" s="107"/>
    </row>
    <row r="72" spans="1:2" x14ac:dyDescent="0.25">
      <c r="A72" s="10" t="s">
        <v>93</v>
      </c>
      <c r="B72" s="107"/>
    </row>
    <row r="73" spans="1:2" x14ac:dyDescent="0.25">
      <c r="A73" s="10" t="s">
        <v>94</v>
      </c>
      <c r="B73" s="107"/>
    </row>
    <row r="74" spans="1:2" x14ac:dyDescent="0.25">
      <c r="A74" s="10" t="s">
        <v>108</v>
      </c>
      <c r="B74" s="107"/>
    </row>
    <row r="75" spans="1:2" x14ac:dyDescent="0.25">
      <c r="A75" s="10" t="s">
        <v>96</v>
      </c>
      <c r="B75" s="107"/>
    </row>
    <row r="76" spans="1:2" x14ac:dyDescent="0.25">
      <c r="A76" s="69" t="s">
        <v>118</v>
      </c>
      <c r="B76" s="108"/>
    </row>
    <row r="77" spans="1:2" x14ac:dyDescent="0.25">
      <c r="A77" s="10"/>
      <c r="B77" s="68"/>
    </row>
    <row r="78" spans="1:2" x14ac:dyDescent="0.25">
      <c r="A78" s="39" t="str">
        <f>"Realiserede faste omkostninger i forbudsreferenceperioden "&amp;IF(OR(B64="",B65=""),"",TEXT(B64,"dd-mm-åååå")&amp;" til "&amp;TEXT(B65,"dd-mm-åååå"))</f>
        <v xml:space="preserve">Realiserede faste omkostninger i forbudsreferenceperioden </v>
      </c>
      <c r="B78" s="30" t="str">
        <f>IF(SUM(B69:B76)=0,"",SUM(B69:B76))</f>
        <v/>
      </c>
    </row>
    <row r="79" spans="1:2" x14ac:dyDescent="0.25">
      <c r="A79" s="39" t="s">
        <v>132</v>
      </c>
      <c r="B79" s="30" t="str">
        <f>IFERROR(IF(ISNUMBER(B78),B78*(_xlfn.DAYS(B52,B51)+1)/(_xlfn.DAYS(B65,B64)+1),""),"")</f>
        <v/>
      </c>
    </row>
    <row r="80" spans="1:2" x14ac:dyDescent="0.25">
      <c r="A80" s="39" t="str">
        <f>"Forventede faste omkostninger i forbudskompensationsperioden "&amp;IF(OR(B51="Vælg/Indtast",B52="Vælg/Indtast"),"",TEXT(B51,"dd-mm-åååå")&amp;" til "&amp;TEXT(B52,"dd-mm-åååå"))</f>
        <v xml:space="preserve">Forventede faste omkostninger i forbudskompensationsperioden </v>
      </c>
      <c r="B80" s="105"/>
    </row>
    <row r="81" spans="1:2" x14ac:dyDescent="0.25">
      <c r="A81" s="16" t="s">
        <v>13</v>
      </c>
      <c r="B81" s="21" t="str">
        <f>IFERROR(IF(AND(B79="",B80=""),"",(B80-B79)/B79),"")</f>
        <v/>
      </c>
    </row>
    <row r="82" spans="1:2" x14ac:dyDescent="0.25">
      <c r="A82" s="16" t="s">
        <v>14</v>
      </c>
      <c r="B82" s="21" t="str">
        <f>IFERROR(IF(ISNUMBER(B81),IF(ABS(B81)&gt;0.1,"Ansøger skal vedlægge et bilag, der forklarer, hvad afvigelsen skyldes, og hvorfor den ikke kunne afværges.",""),""),"")</f>
        <v/>
      </c>
    </row>
    <row r="83" spans="1:2" x14ac:dyDescent="0.25">
      <c r="A83" s="16"/>
      <c r="B83" s="16"/>
    </row>
    <row r="84" spans="1:2" hidden="1" x14ac:dyDescent="0.25">
      <c r="A84" s="7" t="s">
        <v>19</v>
      </c>
      <c r="B84" s="21" t="str">
        <f>IFERROR(IF(OR(B54="",B60=""),"",(B61-B54)/B61),"")</f>
        <v/>
      </c>
    </row>
    <row r="85" spans="1:2" hidden="1" x14ac:dyDescent="0.25">
      <c r="A85" s="7" t="s">
        <v>56</v>
      </c>
      <c r="B85" s="22" t="str">
        <f>IF(B84="","",IF(B54&gt;0,IF(AND(B84&gt;=0.8,B84&lt;=1),2,IF(AND(B84&gt;=0.75,B84&lt;0.8),3,IF(AND(B84&gt;=0.7,B84&lt;0.75),4,IF(AND(B84&gt;=0.65,B84&lt;0.7),5,IF(AND(B84&gt;=0.6,B84&lt;0.65),6,IF(AND(B84&gt;=0.55,B84&lt;0.6),7,IF(AND(B84&gt;=0.5,B84&lt;0.55),8,IF(AND(B84&gt;=0.45,B84&lt;0.5),9,IF(AND(B84&gt;=0.4,B84&lt;0.45),10,IF(AND(B84&gt;=0.35,B84&lt;0.4),11,IF(AND(B84&gt;=0.3,B84&lt;0.35),12,IF(B84&lt;0.35,"Omsætningsnedgangen opfylder ikke kravet om nedgang på minimum 30 pct.")))))))))))),IF(B54=0,1,"")))</f>
        <v/>
      </c>
    </row>
    <row r="86" spans="1:2" hidden="1" x14ac:dyDescent="0.25">
      <c r="A86" s="7" t="s">
        <v>57</v>
      </c>
      <c r="B86" s="21" t="str">
        <f>IF(B85="","",IF(B85=1,1,IF(B85=2,0.9,IF(B85=3,0.85,IF(B85=4,0.8,IF(B85=5,0.75,IF(B44=6,0.7,IF(B85=7,0.65,IF(B85=8,0.6,IF(B85=9,0.55,IF(B85=10,0.5,IF(B85=10,0.5,IF(B85=11,0.45,IF(B85=12,0.4,IF(B85="Omsætningsnedgangen opfylder ikke kravet om nedgang på minimum 30 pct.",0)))))))))))))))</f>
        <v/>
      </c>
    </row>
    <row r="87" spans="1:2" hidden="1" x14ac:dyDescent="0.25">
      <c r="A87" s="7" t="s">
        <v>58</v>
      </c>
      <c r="B87" s="21" t="str">
        <f>IFERROR(IF(B60="","",B60/B59),"")</f>
        <v/>
      </c>
    </row>
    <row r="88" spans="1:2" x14ac:dyDescent="0.25">
      <c r="A88" s="15"/>
      <c r="B88" s="14"/>
    </row>
    <row r="89" spans="1:2" x14ac:dyDescent="0.25">
      <c r="A89" s="18" t="s">
        <v>71</v>
      </c>
      <c r="B89" s="23">
        <f>IFERROR(IF(B86="",0,B80*B87*B86),0)</f>
        <v>0</v>
      </c>
    </row>
    <row r="91" spans="1:2" x14ac:dyDescent="0.25">
      <c r="A91" s="19" t="s">
        <v>72</v>
      </c>
      <c r="B91" s="46">
        <f>IFERROR(MAX(IF(B48="","",IF(B39*B20/B19&lt;16666,"De faste omkostningers andel af de kommercielle indtægters andel af de samlede indtægter opfylder ikke kravet om at udgøre minimum 16.666 kr. i kompensationsperioden. Der kan derfor ikke udbetales kompensation.",IF(IF(B85="Omsætningsnedgangen opfylder ikke kravet om nedgang på minimum 30 pct.",B39*B112*B111,B48+B89)&gt;110000000,110000000,IF(IF(B85="Omsætningsnedgangen opfylder ikke kravet om nedgang på minimum 30 pct.",B39*B112*B111,B48+B89)&gt;IF(OR(B14&lt;&gt;"Institution stiftet efter 1. dec. 2019",B21=""),B20,B21)-B12,IF(OR(B14&lt;&gt;"Institution stiftet efter 1. dec. 2019",B21=""),B20,B21)-B12,IF(B85="Omsætningsnedgangen opfylder ikke kravet om nedgang på minimum 30 pct.",B39*B112*B111,B48+B89))))),0),0)</f>
        <v>0</v>
      </c>
    </row>
    <row r="93" spans="1:2" x14ac:dyDescent="0.25">
      <c r="A93" t="s">
        <v>43</v>
      </c>
    </row>
    <row r="95" spans="1:2" x14ac:dyDescent="0.25">
      <c r="A95" s="24" t="s">
        <v>40</v>
      </c>
      <c r="B95" s="47" t="s">
        <v>7</v>
      </c>
    </row>
    <row r="96" spans="1:2" x14ac:dyDescent="0.25">
      <c r="A96" s="16" t="s">
        <v>41</v>
      </c>
      <c r="B96" s="48" t="s">
        <v>7</v>
      </c>
    </row>
    <row r="97" spans="1:2" x14ac:dyDescent="0.25">
      <c r="A97" s="17" t="s">
        <v>59</v>
      </c>
      <c r="B97" s="48" t="s">
        <v>7</v>
      </c>
    </row>
    <row r="98" spans="1:2" x14ac:dyDescent="0.25">
      <c r="A98" s="16" t="s">
        <v>42</v>
      </c>
      <c r="B98" s="105"/>
    </row>
    <row r="99" spans="1:2" x14ac:dyDescent="0.25">
      <c r="A99" s="17" t="s">
        <v>84</v>
      </c>
      <c r="B99" s="88" t="s">
        <v>7</v>
      </c>
    </row>
    <row r="101" spans="1:2" x14ac:dyDescent="0.25">
      <c r="A101" s="16" t="s">
        <v>21</v>
      </c>
      <c r="B101" s="30" t="str">
        <f>IF(OR(AND(B95="Ja",B96="Nej",B97="Nej",B98=""),AND(ISNUMBER(B98),B99="Vælg/Indtast")),"Det seneste resultat skal oplyses i celle B73 og perioden i celle B74.",IF(ISNUMBER(B98),IF(B99="Årsregnskab med balancedag den 28. februar 2019 eller senere",(1/3),IF(B99="Halvårsregnskab med balancedag den 31. august 2019 eller senere",(2/3),IF(B99="Kvartalsregnskab med balancedag den 30. november 2019 eller senere",(4/3),IF(B99="Årets resultat for kalenderåret 2019",(1/3)))))*ABS(B98)*B111*B112,""))</f>
        <v/>
      </c>
    </row>
    <row r="102" spans="1:2" x14ac:dyDescent="0.25">
      <c r="A102" s="16" t="s">
        <v>61</v>
      </c>
      <c r="B102" s="21" t="str">
        <f>IF(ISNUMBER(B101),B101/B91,"")</f>
        <v/>
      </c>
    </row>
    <row r="103" spans="1:2" x14ac:dyDescent="0.25">
      <c r="A103" s="16" t="s">
        <v>119</v>
      </c>
      <c r="B103" s="26"/>
    </row>
    <row r="104" spans="1:2" x14ac:dyDescent="0.25">
      <c r="A104" s="16" t="s">
        <v>111</v>
      </c>
      <c r="B104" s="26"/>
    </row>
    <row r="105" spans="1:2" x14ac:dyDescent="0.25">
      <c r="A105" s="24"/>
      <c r="B105" s="36"/>
    </row>
    <row r="106" spans="1:2" ht="45" x14ac:dyDescent="0.25">
      <c r="A106" s="35" t="s">
        <v>128</v>
      </c>
      <c r="B106" s="36"/>
    </row>
    <row r="107" spans="1:2" x14ac:dyDescent="0.25">
      <c r="A107" s="16" t="s">
        <v>129</v>
      </c>
      <c r="B107" s="109" t="s">
        <v>7</v>
      </c>
    </row>
    <row r="108" spans="1:2" x14ac:dyDescent="0.25">
      <c r="A108" s="24"/>
      <c r="B108" s="36"/>
    </row>
    <row r="109" spans="1:2" hidden="1" x14ac:dyDescent="0.25">
      <c r="A109" s="27" t="s">
        <v>44</v>
      </c>
      <c r="B109" s="28" t="str">
        <f>IF(OR(B12="",B20=""),"",(IF(OR(B14&lt;&gt;"Institution stiftet efter 1. dec. 2019",B21=""),B20,B21)-B12)/IF(OR(B14&lt;&gt;"Institution stiftet efter 1. dec. 2019",B21=""),B20,B21))</f>
        <v/>
      </c>
    </row>
    <row r="110" spans="1:2" hidden="1" x14ac:dyDescent="0.25">
      <c r="A110" s="27" t="s">
        <v>45</v>
      </c>
      <c r="B110" s="29" t="str">
        <f>IF(B109="","",IF(OR($B$9="Ikke forbud",AND($B$9="Hele kompensationsperioden",$B$12&gt;0),$B$9="Dele af kompensationsperioden"),IF(AND($B$9="Hele kompensationsperioden",$B$12=0),1,IF(AND($B$109&gt;=0.8,$B$109&lt;=1),2,IF(AND($B$109&gt;=0.75,$B$109&lt;0.8),3,IF(AND($B$109&gt;=0.7,$B$109&lt;0.75),4,IF(AND($B$109&gt;=0.65,$B$109&lt;=0.7),5,IF(AND($B$109&gt;=0.6,$B$109&lt;=0.65),6,IF(AND($B$109&gt;=0.55,$B$109&lt;=0.6),7,IF(AND($B$109&gt;=0.5,$B$109&lt;=0.55),8,IF(AND($B$109&gt;=0.45,$B$109&lt;=0.5),9,IF(AND($B$109&gt;=0.4,$B$109&lt;=0.45),10,IF(AND($B$109&gt;=0.35,$B$109&lt;=0.4),11,IF(AND($B$109&gt;=0.3,$B$109&lt;=0.35),12,IF($B$109&lt;0.3,"Omsætningsnedgangen opfylder ikke kravet om nedgang på minimum 30 pct.")))))))))))))))</f>
        <v/>
      </c>
    </row>
    <row r="111" spans="1:2" hidden="1" x14ac:dyDescent="0.25">
      <c r="A111" s="27" t="s">
        <v>46</v>
      </c>
      <c r="B111" s="28" t="str">
        <f>IF(B110="","",IF(B110=1,1,IF(B110=2,0.9,IF(B110=3,0.85,IF(B110=4,0.8,IF(B110=5,0.75,IF(B110=6,0.7,IF(B110=7,0.65,IF(B110=8,0.6,IF(B110=9,0.55,IF(B110=10,0.5,IF(B110=10,0.5,IF(B110=11,0.45,IF(B110=12,0.4,IF(B110="Omsætningsnedgangen opfylder ikke kravet om nedgang på minimum 30 pct.",0)))))))))))))))</f>
        <v/>
      </c>
    </row>
    <row r="112" spans="1:2" hidden="1" x14ac:dyDescent="0.25">
      <c r="A112" s="27" t="s">
        <v>47</v>
      </c>
      <c r="B112" s="28" t="str">
        <f>IF(B111="","",B20/B19)</f>
        <v/>
      </c>
    </row>
    <row r="113" spans="1:2" x14ac:dyDescent="0.25">
      <c r="A113" s="4"/>
      <c r="B113" s="12"/>
    </row>
    <row r="114" spans="1:2" x14ac:dyDescent="0.25">
      <c r="A114" t="s">
        <v>48</v>
      </c>
    </row>
    <row r="115" spans="1:2" x14ac:dyDescent="0.25">
      <c r="A115" t="s">
        <v>120</v>
      </c>
    </row>
    <row r="117" spans="1:2" x14ac:dyDescent="0.25">
      <c r="A117" s="31" t="s">
        <v>121</v>
      </c>
      <c r="B117" s="102"/>
    </row>
    <row r="118" spans="1:2" x14ac:dyDescent="0.25">
      <c r="A118" s="32" t="s">
        <v>49</v>
      </c>
      <c r="B118" s="33">
        <f>IF(OR(ISTEXT(B91),B117="Indtast beløb"),0,IF(B117*0.8&gt;16000,16000,B117*0.8))</f>
        <v>0</v>
      </c>
    </row>
    <row r="120" spans="1:2" x14ac:dyDescent="0.25">
      <c r="A120" s="18" t="s">
        <v>60</v>
      </c>
      <c r="B120" s="34">
        <f>MAX(IF(ISNUMBER(B91),IF(B91-IF(ISNUMBER(B101),B101,0)&gt;0,IF(B101="",B91+B118,IF(B102&lt;0.5,B91+B118-B101,IF(B107="Nej",B91+B118-B101,IF(AND(B102&gt;0.5,B107="Ja"),B91*0.5+B118)))),0),0),0)</f>
        <v>0</v>
      </c>
    </row>
  </sheetData>
  <sheetProtection algorithmName="SHA-512" hashValue="5m+Wl9WvIfGCDT3fCm7d21zvfFqJvpZk35VUmIFKkEt8Udyz9XhIffbQkugshdLCWbhHi7OgYKtkSqiMhn0q0A==" saltValue="YvvfOajNuFtwg+KMFJM9kA==" spinCount="100000" sheet="1" formatColumns="0"/>
  <conditionalFormatting sqref="B18">
    <cfRule type="expression" dxfId="97" priority="58">
      <formula>B14="Nystartet institution"</formula>
    </cfRule>
  </conditionalFormatting>
  <conditionalFormatting sqref="B17:B18">
    <cfRule type="expression" dxfId="96" priority="57">
      <formula>B14="Nystartet institution"</formula>
    </cfRule>
  </conditionalFormatting>
  <conditionalFormatting sqref="A17">
    <cfRule type="expression" dxfId="95" priority="50">
      <formula>B14="Nystartet institution"</formula>
    </cfRule>
  </conditionalFormatting>
  <conditionalFormatting sqref="B39">
    <cfRule type="expression" dxfId="94" priority="92">
      <formula>B16="Nystartet institution"</formula>
    </cfRule>
  </conditionalFormatting>
  <conditionalFormatting sqref="A40">
    <cfRule type="expression" dxfId="93" priority="94">
      <formula>B16="Nystartet institution"</formula>
    </cfRule>
  </conditionalFormatting>
  <conditionalFormatting sqref="B48:B49">
    <cfRule type="expression" dxfId="92" priority="96">
      <formula>B17="Nystartet institution"</formula>
    </cfRule>
  </conditionalFormatting>
  <conditionalFormatting sqref="A48:A49">
    <cfRule type="expression" dxfId="91" priority="98">
      <formula>B17="Nystartet institution"</formula>
    </cfRule>
  </conditionalFormatting>
  <conditionalFormatting sqref="B46:B47">
    <cfRule type="expression" dxfId="90" priority="100">
      <formula>B18="Nystartet institution"</formula>
    </cfRule>
  </conditionalFormatting>
  <conditionalFormatting sqref="A46:A47">
    <cfRule type="expression" dxfId="89" priority="102">
      <formula>B18="Nystartet institution"</formula>
    </cfRule>
  </conditionalFormatting>
  <conditionalFormatting sqref="B44:B45">
    <cfRule type="expression" dxfId="88" priority="104">
      <formula>B18="Nystartet institution"</formula>
    </cfRule>
  </conditionalFormatting>
  <conditionalFormatting sqref="A44:A45">
    <cfRule type="expression" dxfId="87" priority="106">
      <formula>B18="Nystartet institution"</formula>
    </cfRule>
  </conditionalFormatting>
  <conditionalFormatting sqref="B84">
    <cfRule type="expression" dxfId="86" priority="42">
      <formula>B54="Nystartet institution"</formula>
    </cfRule>
  </conditionalFormatting>
  <conditionalFormatting sqref="A84">
    <cfRule type="expression" dxfId="85" priority="43">
      <formula>B54="Nystartet institution"</formula>
    </cfRule>
  </conditionalFormatting>
  <conditionalFormatting sqref="B89">
    <cfRule type="expression" dxfId="84" priority="44">
      <formula>#REF!="Nystartet institution"</formula>
    </cfRule>
  </conditionalFormatting>
  <conditionalFormatting sqref="A89">
    <cfRule type="expression" dxfId="83" priority="45">
      <formula>#REF!="Nystartet institution"</formula>
    </cfRule>
  </conditionalFormatting>
  <conditionalFormatting sqref="B87:B88">
    <cfRule type="expression" dxfId="82" priority="46">
      <formula>B54="Nystartet institution"</formula>
    </cfRule>
  </conditionalFormatting>
  <conditionalFormatting sqref="A87:A88">
    <cfRule type="expression" dxfId="81" priority="47">
      <formula>B54="Nystartet institution"</formula>
    </cfRule>
  </conditionalFormatting>
  <conditionalFormatting sqref="B85:B86">
    <cfRule type="expression" dxfId="80" priority="48">
      <formula>B54="Nystartet institution"</formula>
    </cfRule>
  </conditionalFormatting>
  <conditionalFormatting sqref="A85:A86">
    <cfRule type="expression" dxfId="79" priority="49">
      <formula>B54="Nystartet institution"</formula>
    </cfRule>
  </conditionalFormatting>
  <conditionalFormatting sqref="A17:B18">
    <cfRule type="expression" dxfId="78" priority="40">
      <formula>$B$14="Institution stiftet efter 1. dec. 2019"</formula>
    </cfRule>
  </conditionalFormatting>
  <conditionalFormatting sqref="A41:B41">
    <cfRule type="expression" dxfId="77" priority="38">
      <formula>ABS($B$40)&gt;0.1</formula>
    </cfRule>
  </conditionalFormatting>
  <conditionalFormatting sqref="A38:A39">
    <cfRule type="expression" dxfId="76" priority="108">
      <formula>B18="Nystartet institution"</formula>
    </cfRule>
  </conditionalFormatting>
  <conditionalFormatting sqref="A37:B37 A24:B25">
    <cfRule type="expression" dxfId="75" priority="32">
      <formula>$B$23="Institution stiftet efter 1. dec. 2019"</formula>
    </cfRule>
  </conditionalFormatting>
  <conditionalFormatting sqref="A82">
    <cfRule type="expression" dxfId="74" priority="41">
      <formula>ABS($B$81)&gt;0.1</formula>
    </cfRule>
  </conditionalFormatting>
  <conditionalFormatting sqref="A15:B16">
    <cfRule type="expression" dxfId="73" priority="29">
      <formula>$B$14="Anden referenceperiode (kun ved særlige omstændigheder)"</formula>
    </cfRule>
  </conditionalFormatting>
  <conditionalFormatting sqref="A96:B96">
    <cfRule type="expression" dxfId="72" priority="28">
      <formula>$B$95="Ja"</formula>
    </cfRule>
    <cfRule type="expression" dxfId="71" priority="30">
      <formula>$B$95="Ja"</formula>
    </cfRule>
  </conditionalFormatting>
  <conditionalFormatting sqref="A97:B97">
    <cfRule type="expression" dxfId="70" priority="27">
      <formula>$B$96="Nej"</formula>
    </cfRule>
  </conditionalFormatting>
  <conditionalFormatting sqref="A98:B99">
    <cfRule type="expression" dxfId="69" priority="23">
      <formula>$B$97="Nej"</formula>
    </cfRule>
  </conditionalFormatting>
  <conditionalFormatting sqref="A109">
    <cfRule type="expression" dxfId="68" priority="20">
      <formula>B86="Nystartet institution"</formula>
    </cfRule>
  </conditionalFormatting>
  <conditionalFormatting sqref="A112">
    <cfRule type="expression" dxfId="67" priority="21">
      <formula>B86="Nystartet institution"</formula>
    </cfRule>
  </conditionalFormatting>
  <conditionalFormatting sqref="A110:A111">
    <cfRule type="expression" dxfId="66" priority="22">
      <formula>B86="Nystartet institution"</formula>
    </cfRule>
  </conditionalFormatting>
  <conditionalFormatting sqref="A101:B101">
    <cfRule type="expression" dxfId="65" priority="19">
      <formula>AND($B$95="Ja",$B$96="Nej",$B$97="Nej",$B$98="")</formula>
    </cfRule>
  </conditionalFormatting>
  <conditionalFormatting sqref="B102">
    <cfRule type="expression" dxfId="64" priority="17">
      <formula>AND(ISNUMBER($B$102),$B$102&gt;0.5)</formula>
    </cfRule>
  </conditionalFormatting>
  <conditionalFormatting sqref="A107:B107">
    <cfRule type="expression" dxfId="63" priority="15">
      <formula>AND(ISNUMBER($B$102),$B$102&gt;0.5)</formula>
    </cfRule>
  </conditionalFormatting>
  <conditionalFormatting sqref="A26:B28">
    <cfRule type="expression" dxfId="62" priority="8">
      <formula>$B$23="Institution stiftet efter 1. dec. 2019"</formula>
    </cfRule>
  </conditionalFormatting>
  <conditionalFormatting sqref="A26:A28">
    <cfRule type="expression" dxfId="61" priority="13">
      <formula>B16="Nystartet institution"</formula>
    </cfRule>
  </conditionalFormatting>
  <conditionalFormatting sqref="A37">
    <cfRule type="expression" dxfId="60" priority="124">
      <formula>B21="Nystartet institution"</formula>
    </cfRule>
  </conditionalFormatting>
  <conditionalFormatting sqref="A26:B28 A37:B37 A29:A36">
    <cfRule type="cellIs" dxfId="59" priority="7" operator="equal">
      <formula>$B$23&lt;&gt;"Vælg/Indtast"</formula>
    </cfRule>
  </conditionalFormatting>
  <conditionalFormatting sqref="A103:B104">
    <cfRule type="expression" dxfId="58" priority="2">
      <formula>AND(ISNUMBER($B$102),$B$102&gt;0.5)</formula>
    </cfRule>
  </conditionalFormatting>
  <conditionalFormatting sqref="A62:B77 A80:B80 A83:B83 A50:B60">
    <cfRule type="expression" dxfId="57" priority="1">
      <formula>$B$9="Dele af kompensationsperioden"</formula>
    </cfRule>
  </conditionalFormatting>
  <dataValidations count="7">
    <dataValidation type="list" showInputMessage="1" showErrorMessage="1" errorTitle="Ugyldig periode" error="Der skal angives en af de to perioder eller angives &quot;Nystartet virksomhed/institution&quot;." sqref="B14">
      <formula1>Referenceperiode</formula1>
    </dataValidation>
    <dataValidation type="list" showInputMessage="1" showErrorMessage="1" sqref="B9">
      <formula1>Forbudsart</formula1>
    </dataValidation>
    <dataValidation type="list" showInputMessage="1" showErrorMessage="1" sqref="B23">
      <formula1>ReferenceperiodeFasteOmk</formula1>
    </dataValidation>
    <dataValidation type="list" showInputMessage="1" showErrorMessage="1" errorTitle="Ugyldig dato" error="Der skal vælges en dato mellem 1. april 2019 og 9. marts 2020, dog inden for samme referenceperiode angivet for hele perioden." sqref="B64:B65">
      <formula1>AndenReferenceperiode</formula1>
    </dataValidation>
    <dataValidation type="list" showInputMessage="1" showErrorMessage="1" errorTitle="Ugyldig indtastning" error="Der skal vælges mellem Ja/Nej." sqref="B95:B97">
      <formula1>NegativtResultat</formula1>
    </dataValidation>
    <dataValidation type="list" showInputMessage="1" showErrorMessage="1" sqref="B107">
      <formula1>FastholdeUdbetaling</formula1>
    </dataValidation>
    <dataValidation type="list" showInputMessage="1" showErrorMessage="1" errorTitle="Ugyldig periode" error="Der skal oplyses en af de fire periode angivet i rullemenuen." sqref="B99">
      <formula1>OpgørelseAfSenesteResultat</formula1>
    </dataValidation>
  </dataValidations>
  <pageMargins left="0.7" right="0.7" top="0.75" bottom="0.75" header="0.3" footer="0.3"/>
  <pageSetup paperSize="9" orientation="portrait" r:id="rId1"/>
  <ignoredErrors>
    <ignoredError sqref="B78" unlockedFormula="1"/>
  </ignoredErrors>
  <extLst>
    <ext xmlns:x14="http://schemas.microsoft.com/office/spreadsheetml/2009/9/main" uri="{CCE6A557-97BC-4b89-ADB6-D9C93CAAB3DF}">
      <x14:dataValidations xmlns:xm="http://schemas.microsoft.com/office/excel/2006/main" count="5">
        <x14:dataValidation type="list" showInputMessage="1" showErrorMessage="1" errorTitle="Ugyldig dato" error="Der skal vælges en dato mellem 1. december 2019 og 9. marts 2020.">
          <x14:formula1>
            <xm:f>Lister!$E$2:$E$367</xm:f>
          </x14:formula1>
          <xm:sqref>B24:B25</xm:sqref>
        </x14:dataValidation>
        <x14:dataValidation type="list" showInputMessage="1" showErrorMessage="1" errorTitle="Ugyldig dato" error="Der skal angives en dato mellem 8. december 2019 og 9. marts 2020.">
          <x14:formula1>
            <xm:f>Lister!$E$2:$E$367</xm:f>
          </x14:formula1>
          <xm:sqref>B17:B18</xm:sqref>
        </x14:dataValidation>
        <x14:dataValidation type="list" showInputMessage="1" showErrorMessage="1" errorTitle="Ugyldig dato" error="Der er indtastet en ugyldig dato.  Den anden opgørelsesperiode skal være på 4 måneder og starte den 1. april 2019 eller senere og slutte senest den 9. marts 2020.">
          <x14:formula1>
            <xm:f>Lister!$G$2:$G$551</xm:f>
          </x14:formula1>
          <xm:sqref>B15:B16</xm:sqref>
        </x14:dataValidation>
        <x14:dataValidation type="list" showInputMessage="1" showErrorMessage="1" errorTitle="Ugyldig dato" error="Der skal indtastes en dato inden for den referenceperiode, der er angivet for realiseret omsætning for hele kompensationsperiodenen, dog skal datoen som minimum være mellem 1. april 2019 og 9. marts 2020.">
          <x14:formula1>
            <xm:f>Lister!$E$2:$E$367</xm:f>
          </x14:formula1>
          <xm:sqref>B57:B58</xm:sqref>
        </x14:dataValidation>
        <x14:dataValidation type="list" showInputMessage="1" showErrorMessage="1" errorTitle="Ugyldig dato" error="Der skal indtastes en dato mellem 9. marts 2020 og 8. juli 2020.">
          <x14:formula1>
            <xm:f>Lister!$A$2:$A$206</xm:f>
          </x14:formula1>
          <xm:sqref>B51:B52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115"/>
  <sheetViews>
    <sheetView workbookViewId="0">
      <selection activeCell="B10" sqref="B10"/>
    </sheetView>
  </sheetViews>
  <sheetFormatPr defaultRowHeight="15" x14ac:dyDescent="0.25"/>
  <cols>
    <col min="1" max="1" width="94.28515625" customWidth="1"/>
    <col min="2" max="2" width="51.28515625" bestFit="1" customWidth="1"/>
  </cols>
  <sheetData>
    <row r="1" spans="1:2" x14ac:dyDescent="0.25">
      <c r="A1" s="1" t="s">
        <v>131</v>
      </c>
      <c r="B1" s="2"/>
    </row>
    <row r="2" spans="1:2" ht="30" x14ac:dyDescent="0.25">
      <c r="A2" s="37" t="s">
        <v>126</v>
      </c>
      <c r="B2" s="10"/>
    </row>
    <row r="3" spans="1:2" x14ac:dyDescent="0.25">
      <c r="A3" s="37"/>
      <c r="B3" s="10"/>
    </row>
    <row r="4" spans="1:2" x14ac:dyDescent="0.25">
      <c r="A4" s="4" t="s">
        <v>51</v>
      </c>
      <c r="B4" s="59"/>
    </row>
    <row r="5" spans="1:2" x14ac:dyDescent="0.25">
      <c r="A5" s="55" t="s">
        <v>73</v>
      </c>
      <c r="B5" s="110" t="s">
        <v>123</v>
      </c>
    </row>
    <row r="6" spans="1:2" x14ac:dyDescent="0.25">
      <c r="A6" s="55" t="s">
        <v>74</v>
      </c>
      <c r="B6" s="111" t="s">
        <v>123</v>
      </c>
    </row>
    <row r="7" spans="1:2" x14ac:dyDescent="0.25">
      <c r="A7" s="56" t="s">
        <v>69</v>
      </c>
      <c r="B7" s="104" t="s">
        <v>123</v>
      </c>
    </row>
    <row r="8" spans="1:2" x14ac:dyDescent="0.25">
      <c r="A8" s="56"/>
      <c r="B8" s="43"/>
    </row>
    <row r="9" spans="1:2" ht="30" x14ac:dyDescent="0.25">
      <c r="A9" s="61" t="s">
        <v>75</v>
      </c>
      <c r="B9" s="43"/>
    </row>
    <row r="10" spans="1:2" x14ac:dyDescent="0.25">
      <c r="A10" s="56" t="str">
        <f>"Faktisk omsætning i alt i forbudskompensationsperioden "&amp;IF(Ansøgning!$B$51="Vælg/Indtast","",TEXT(Ansøgning!$B$51,"dd-mm-åååå")&amp;" til ")&amp;IF(Ansøgning!$B$52="Vælg/Indtast","",TEXT(Ansøgning!$B$52,"dd-mm-åååå"))</f>
        <v xml:space="preserve">Faktisk omsætning i alt i forbudskompensationsperioden </v>
      </c>
      <c r="B10" s="104" t="s">
        <v>123</v>
      </c>
    </row>
    <row r="11" spans="1:2" x14ac:dyDescent="0.25">
      <c r="A11" s="56" t="str">
        <f>"Faktisk kommerciel omsætning i alt i forbudskompensationsperioden "&amp;IF(Ansøgning!B51="Vælg/Indtast","",TEXT(Ansøgning!$B$51,"dd-mm-åååå")&amp;" til ")&amp;IF(Ansøgning!B52="Vælg/Indtast","",TEXT(Ansøgning!$B$52,"dd-mm-åååå"))</f>
        <v xml:space="preserve">Faktisk kommerciel omsætning i alt i forbudskompensationsperioden </v>
      </c>
      <c r="B11" s="104" t="s">
        <v>123</v>
      </c>
    </row>
    <row r="12" spans="1:2" x14ac:dyDescent="0.25">
      <c r="A12" s="56" t="str">
        <f>"Faktiske faste omkostninger i forbudskompensationsperioden "&amp;IF(Ansøgning!B51="Vælg/Indtast","",TEXT(Ansøgning!$B$51,"dd-mm-åååå")&amp;" til ")&amp;IF(Ansøgning!B52="Vælg/Indtast","",TEXT(Ansøgning!$B$52,"dd-mm-åååå"))</f>
        <v xml:space="preserve">Faktiske faste omkostninger i forbudskompensationsperioden </v>
      </c>
      <c r="B12" s="104" t="s">
        <v>123</v>
      </c>
    </row>
    <row r="13" spans="1:2" x14ac:dyDescent="0.25">
      <c r="A13" s="56"/>
      <c r="B13" s="43"/>
    </row>
    <row r="14" spans="1:2" x14ac:dyDescent="0.25">
      <c r="A14" s="57" t="s">
        <v>78</v>
      </c>
      <c r="B14" s="62">
        <f>IF(Ansøgning!B91="","",Ansøgning!B91)</f>
        <v>0</v>
      </c>
    </row>
    <row r="15" spans="1:2" x14ac:dyDescent="0.25">
      <c r="A15" s="18" t="s">
        <v>77</v>
      </c>
      <c r="B15" s="34" t="str">
        <f>IFERROR(IF(B88="","",B88),"")</f>
        <v/>
      </c>
    </row>
    <row r="16" spans="1:2" x14ac:dyDescent="0.25">
      <c r="A16" s="56"/>
      <c r="B16" s="9"/>
    </row>
    <row r="17" spans="1:2" x14ac:dyDescent="0.25">
      <c r="A17" s="57" t="s">
        <v>81</v>
      </c>
      <c r="B17" s="98">
        <f>IF(ISNUMBER(Ansøgning!B98)="","",Ansøgning!B98)</f>
        <v>0</v>
      </c>
    </row>
    <row r="18" spans="1:2" x14ac:dyDescent="0.25">
      <c r="A18" s="57" t="s">
        <v>83</v>
      </c>
      <c r="B18" s="107" t="s">
        <v>123</v>
      </c>
    </row>
    <row r="19" spans="1:2" x14ac:dyDescent="0.25">
      <c r="A19" s="16" t="s">
        <v>82</v>
      </c>
      <c r="B19" s="52" t="str">
        <f>IF(B18="","",IF(B18&lt;0,"Ja","Nej"))</f>
        <v>Nej</v>
      </c>
    </row>
    <row r="20" spans="1:2" x14ac:dyDescent="0.25">
      <c r="A20" s="16" t="s">
        <v>41</v>
      </c>
      <c r="B20" s="48" t="s">
        <v>7</v>
      </c>
    </row>
    <row r="21" spans="1:2" x14ac:dyDescent="0.25">
      <c r="A21" s="16" t="s">
        <v>59</v>
      </c>
      <c r="B21" s="48" t="s">
        <v>7</v>
      </c>
    </row>
    <row r="22" spans="1:2" x14ac:dyDescent="0.25">
      <c r="A22" s="56"/>
      <c r="B22" s="87"/>
    </row>
    <row r="23" spans="1:2" x14ac:dyDescent="0.25">
      <c r="A23" s="57" t="s">
        <v>21</v>
      </c>
      <c r="B23" s="58">
        <f>IF(AND(B19="Ja",B20="Nej",B21="Nej",ISNUMBER(B18)),ABS(B18)*B106*B107,0)</f>
        <v>0</v>
      </c>
    </row>
    <row r="24" spans="1:2" x14ac:dyDescent="0.25">
      <c r="A24" s="57" t="s">
        <v>76</v>
      </c>
      <c r="B24" s="90" t="str">
        <f>IFERROR(IF(B23="","",B23/B15),"")</f>
        <v/>
      </c>
    </row>
    <row r="25" spans="1:2" x14ac:dyDescent="0.25">
      <c r="A25" s="56"/>
      <c r="B25" s="89"/>
    </row>
    <row r="26" spans="1:2" ht="45" x14ac:dyDescent="0.25">
      <c r="A26" s="35" t="s">
        <v>128</v>
      </c>
      <c r="B26" s="36"/>
    </row>
    <row r="27" spans="1:2" hidden="1" x14ac:dyDescent="0.25">
      <c r="A27" s="24" t="s">
        <v>129</v>
      </c>
      <c r="B27" s="112" t="s">
        <v>7</v>
      </c>
    </row>
    <row r="28" spans="1:2" x14ac:dyDescent="0.25">
      <c r="A28" s="56"/>
      <c r="B28" s="89"/>
    </row>
    <row r="29" spans="1:2" x14ac:dyDescent="0.25">
      <c r="A29" s="18" t="s">
        <v>79</v>
      </c>
      <c r="B29" s="34">
        <f>B115</f>
        <v>0</v>
      </c>
    </row>
    <row r="30" spans="1:2" x14ac:dyDescent="0.25">
      <c r="A30" s="32" t="s">
        <v>80</v>
      </c>
      <c r="B30" s="65">
        <f>IF(ISNUMBER(B29),B29-Ansøgning!B120,"")</f>
        <v>0</v>
      </c>
    </row>
    <row r="31" spans="1:2" hidden="1" x14ac:dyDescent="0.25">
      <c r="A31" s="55"/>
      <c r="B31" s="9"/>
    </row>
    <row r="32" spans="1:2" hidden="1" x14ac:dyDescent="0.25">
      <c r="A32" s="8" t="s">
        <v>11</v>
      </c>
      <c r="B32" s="91" t="str">
        <f>IF(Ansøgning!B4="","",Ansøgning!B4)</f>
        <v/>
      </c>
    </row>
    <row r="33" spans="1:2" hidden="1" x14ac:dyDescent="0.25">
      <c r="A33" s="7" t="s">
        <v>0</v>
      </c>
      <c r="B33" s="91" t="str">
        <f>IF(Ansøgning!B5="","",Ansøgning!B5)</f>
        <v/>
      </c>
    </row>
    <row r="34" spans="1:2" hidden="1" x14ac:dyDescent="0.25">
      <c r="A34" s="7" t="s">
        <v>2</v>
      </c>
      <c r="B34" s="51">
        <v>43899</v>
      </c>
    </row>
    <row r="35" spans="1:2" hidden="1" x14ac:dyDescent="0.25">
      <c r="A35" s="7" t="s">
        <v>3</v>
      </c>
      <c r="B35" s="51">
        <v>44020</v>
      </c>
    </row>
    <row r="36" spans="1:2" hidden="1" x14ac:dyDescent="0.25">
      <c r="A36" s="4"/>
      <c r="B36" s="92"/>
    </row>
    <row r="37" spans="1:2" hidden="1" x14ac:dyDescent="0.25">
      <c r="A37" s="7" t="s">
        <v>33</v>
      </c>
      <c r="B37" s="91" t="str">
        <f>IF(Ansøgning!B9="","",Ansøgning!B9)</f>
        <v>Vælg/Indtast</v>
      </c>
    </row>
    <row r="38" spans="1:2" hidden="1" x14ac:dyDescent="0.25">
      <c r="A38" s="4"/>
      <c r="B38" s="92"/>
    </row>
    <row r="39" spans="1:2" hidden="1" x14ac:dyDescent="0.25">
      <c r="A39" s="4" t="s">
        <v>51</v>
      </c>
      <c r="B39" s="92"/>
    </row>
    <row r="40" spans="1:2" hidden="1" x14ac:dyDescent="0.25">
      <c r="A40" s="17" t="s">
        <v>50</v>
      </c>
      <c r="B40" s="98" t="str">
        <f>IF(Ansøgning!B12="","",Ansøgning!B12)</f>
        <v/>
      </c>
    </row>
    <row r="41" spans="1:2" hidden="1" x14ac:dyDescent="0.25">
      <c r="A41" s="16" t="s">
        <v>67</v>
      </c>
      <c r="B41" s="113" t="str">
        <f>IF(B6="","",B6)</f>
        <v>Indtast beløb</v>
      </c>
    </row>
    <row r="42" spans="1:2" hidden="1" x14ac:dyDescent="0.25">
      <c r="B42" s="92"/>
    </row>
    <row r="43" spans="1:2" hidden="1" x14ac:dyDescent="0.25">
      <c r="A43" s="7" t="s">
        <v>68</v>
      </c>
      <c r="B43" s="93" t="b">
        <f>IF(OR(Ansøgning!B14="01-04-2019 til 31-07-2019",Ansøgning!B14="01-11-2019 til 29-02-2020"),Ansøgning!B14,IF(AND(Ansøgning!B14="Anden referenceperiode (kun ved særlige omstændigheder)",Ansøgning!B15&lt;&gt;"",Ansøgning!B16&lt;&gt;""),TEXT(Ansøgning!B15,"dd-mm-åååå")&amp;" til "&amp;TEXT(Ansøgning!B16,"dd-mm-åååå"),IF(AND(Ansøgning!B14="Institution stiftet efter 1. dec. 2019",Ansøgning!B17&lt;&gt;"",Ansøgning!B18&lt;&gt;""),TEXT(Ansøgning!B17,"dd-mm-åååå")&amp;" til "&amp;TEXT(Ansøgning!B18,"dd-mm-åååå"))))</f>
        <v>0</v>
      </c>
    </row>
    <row r="44" spans="1:2" hidden="1" x14ac:dyDescent="0.25">
      <c r="A44" s="39" t="str">
        <f>"Realiseret omsætning i alt i perioden "&amp;B43</f>
        <v>Realiseret omsætning i alt i perioden FALSK</v>
      </c>
      <c r="B44" s="30" t="str">
        <f>IF(Ansøgning!B19="","",Ansøgning!B19)</f>
        <v/>
      </c>
    </row>
    <row r="45" spans="1:2" hidden="1" x14ac:dyDescent="0.25">
      <c r="A45" s="39" t="str">
        <f>"Realiseret kommerciel omsætning i alt i perioden "&amp;B43</f>
        <v>Realiseret kommerciel omsætning i alt i perioden FALSK</v>
      </c>
      <c r="B45" s="30" t="str">
        <f>IF(Ansøgning!B20="","",Ansøgning!B20)</f>
        <v/>
      </c>
    </row>
    <row r="46" spans="1:2" hidden="1" x14ac:dyDescent="0.25">
      <c r="A46" s="39" t="s">
        <v>65</v>
      </c>
      <c r="B46" s="30" t="str">
        <f>IF(ISNUMBER(Ansøgning!B21),Ansøgning!B21,"")</f>
        <v/>
      </c>
    </row>
    <row r="47" spans="1:2" hidden="1" x14ac:dyDescent="0.25">
      <c r="B47" s="94"/>
    </row>
    <row r="48" spans="1:2" hidden="1" x14ac:dyDescent="0.25">
      <c r="A48" s="7" t="s">
        <v>53</v>
      </c>
      <c r="B48" s="52" t="b">
        <f>IF(Ansøgning!B23="01-11-2019 til 29-02-2020",Ansøgning!B23,IF(AND(Ansøgning!B23="Institution stiftet efter 1. dec. 2019",Ansøgning!B24&lt;&gt;"",Ansøgning!B25&lt;&gt;""),TEXT(Ansøgning!B24,"dd-mm-åååå")&amp;" til "&amp;TEXT(Ansøgning!B25,"dd-mm-åååå")))</f>
        <v>0</v>
      </c>
    </row>
    <row r="49" spans="1:2" hidden="1" x14ac:dyDescent="0.25">
      <c r="A49" s="39" t="str">
        <f>"Realiserede faste omkostninger i perioden "&amp;B48</f>
        <v>Realiserede faste omkostninger i perioden FALSK</v>
      </c>
      <c r="B49" s="30" t="str">
        <f>IF(Ansøgning!B38="","",Ansøgning!B38)</f>
        <v/>
      </c>
    </row>
    <row r="50" spans="1:2" hidden="1" x14ac:dyDescent="0.25">
      <c r="A50" s="39" t="s">
        <v>15</v>
      </c>
      <c r="B50" s="30" t="str">
        <f>IF(Ansøgning!B39="","",Ansøgning!B39)</f>
        <v/>
      </c>
    </row>
    <row r="51" spans="1:2" hidden="1" x14ac:dyDescent="0.25">
      <c r="A51" s="50" t="s">
        <v>69</v>
      </c>
      <c r="B51" s="62" t="str">
        <f>IF(B7="","",B7)</f>
        <v>Indtast beløb</v>
      </c>
    </row>
    <row r="52" spans="1:2" hidden="1" x14ac:dyDescent="0.25">
      <c r="A52" s="17" t="s">
        <v>13</v>
      </c>
      <c r="B52" s="44" t="str">
        <f>IF(B48="01-11-2019 til 29-02-2020",IF(OR(B49="",B51=""),"",(B51-B49)/B49),"")</f>
        <v/>
      </c>
    </row>
    <row r="53" spans="1:2" hidden="1" x14ac:dyDescent="0.25">
      <c r="A53" s="16" t="s">
        <v>14</v>
      </c>
      <c r="B53" s="53"/>
    </row>
    <row r="54" spans="1:2" hidden="1" x14ac:dyDescent="0.25">
      <c r="B54" s="54"/>
    </row>
    <row r="55" spans="1:2" hidden="1" x14ac:dyDescent="0.25">
      <c r="A55" s="7" t="s">
        <v>70</v>
      </c>
      <c r="B55" s="21" t="e">
        <f>IF(B41="","",(IF(Ansøgning!B14="Institution stiftet efter 1. dec. 2019",B46,B45)-IF(ISNUMBER(B71),B71,0)-B41-B67)/(IF(Ansøgning!B14="Institution stiftet efter 1. dec. 2019",B46,B45)-IF(ISNUMBER(B71),B71,0)))</f>
        <v>#VALUE!</v>
      </c>
    </row>
    <row r="56" spans="1:2" hidden="1" x14ac:dyDescent="0.25">
      <c r="A56" s="7" t="s">
        <v>54</v>
      </c>
      <c r="B56" s="22" t="e">
        <f>IF($B$55="","",IF(AND($B$37="Hele kompensationsperioden",$B$41=0),1,IF(AND($B$55&gt;=0.8,$B$55&lt;=1),2,IF(AND($B$55&gt;=0.6,$B$55&lt;8),3,IF(AND($B$55&gt;=0.35,$B$55&lt;0.6),4,IF($B$55&lt;0.35,"Omsætningsnedgangen opfylder ikke kravet om nedgang på minimum 35 pct."))))))</f>
        <v>#VALUE!</v>
      </c>
    </row>
    <row r="57" spans="1:2" hidden="1" x14ac:dyDescent="0.25">
      <c r="A57" s="7" t="s">
        <v>55</v>
      </c>
      <c r="B57" s="21" t="e">
        <f>IF(B56="","",IF(B56=1,1,IF(B56=2,0.8,IF(B56=3,0.5,IF(B56=4,0.25,IF(B56="Omsætningsnedgangen opfylder ikke kravet om nedgang på minimum 35 pct.",0))))))</f>
        <v>#VALUE!</v>
      </c>
    </row>
    <row r="58" spans="1:2" hidden="1" x14ac:dyDescent="0.25">
      <c r="A58" s="7" t="s">
        <v>64</v>
      </c>
      <c r="B58" s="21" t="e">
        <f>IF(B41="","",(B45-B71)/(B44-B70))</f>
        <v>#VALUE!</v>
      </c>
    </row>
    <row r="59" spans="1:2" hidden="1" x14ac:dyDescent="0.25">
      <c r="A59" s="15"/>
      <c r="B59" s="54"/>
    </row>
    <row r="60" spans="1:2" hidden="1" x14ac:dyDescent="0.25">
      <c r="A60" s="18" t="s">
        <v>37</v>
      </c>
      <c r="B60" s="23" t="e">
        <f>IF(B57="","",(B51-B77)*B58*B57)</f>
        <v>#VALUE!</v>
      </c>
    </row>
    <row r="61" spans="1:2" hidden="1" x14ac:dyDescent="0.25">
      <c r="A61" s="4"/>
      <c r="B61" s="54"/>
    </row>
    <row r="62" spans="1:2" ht="30" hidden="1" x14ac:dyDescent="0.25">
      <c r="A62" s="60" t="s">
        <v>75</v>
      </c>
      <c r="B62" s="39"/>
    </row>
    <row r="63" spans="1:2" hidden="1" x14ac:dyDescent="0.25">
      <c r="A63" s="16" t="s">
        <v>25</v>
      </c>
      <c r="B63" s="51" t="str">
        <f>IF(Ansøgning!B51="","",Ansøgning!B51)</f>
        <v>Vælg/Indtast</v>
      </c>
    </row>
    <row r="64" spans="1:2" hidden="1" x14ac:dyDescent="0.25">
      <c r="A64" s="16" t="s">
        <v>18</v>
      </c>
      <c r="B64" s="51" t="str">
        <f>IF(Ansøgning!B52="","",Ansøgning!B52)</f>
        <v>Vælg/Indtast</v>
      </c>
    </row>
    <row r="65" spans="1:2" hidden="1" x14ac:dyDescent="0.25">
      <c r="A65" s="16"/>
      <c r="B65" s="39"/>
    </row>
    <row r="66" spans="1:2" hidden="1" x14ac:dyDescent="0.25">
      <c r="A66" s="39" t="str">
        <f>"Forventet kommerciel omsætning i alt i forbudskompensationsperioden "&amp;IF(OR($B$63="",$B$64=""),"",TEXT($B$63,"dd-mm-åååå")&amp;" til "&amp;TEXT($B$64,"dd-mm-åååå"))</f>
        <v>Forventet kommerciel omsætning i alt i forbudskompensationsperioden Vælg/Indtast til Vælg/Indtast</v>
      </c>
      <c r="B66" s="30" t="str">
        <f>IF(Ansøgning!B54="","",Ansøgning!B54)</f>
        <v/>
      </c>
    </row>
    <row r="67" spans="1:2" hidden="1" x14ac:dyDescent="0.25">
      <c r="A67" s="39" t="str">
        <f>"Faktisk kommerciel omsætning i alt i forbudskompensationsperioden "&amp;IF(OR($B$63="",$B$64=""),"",TEXT($B$63,"dd-mm-åååå")&amp;" til "&amp;TEXT($B$64,"dd-mm-åååå"))</f>
        <v>Faktisk kommerciel omsætning i alt i forbudskompensationsperioden Vælg/Indtast til Vælg/Indtast</v>
      </c>
      <c r="B67" s="30" t="str">
        <f>IF(B11="","",B11)</f>
        <v>Indtast beløb</v>
      </c>
    </row>
    <row r="68" spans="1:2" hidden="1" x14ac:dyDescent="0.25">
      <c r="A68" s="16"/>
      <c r="B68" s="39"/>
    </row>
    <row r="69" spans="1:2" hidden="1" x14ac:dyDescent="0.25">
      <c r="A69" s="7" t="s">
        <v>27</v>
      </c>
      <c r="B69" s="52" t="str">
        <f>IF(OR(Ansøgning!B57="",Ansøgning!B58=""),"",TEXT(Ansøgning!B57,"dd-mm-åååå")&amp;" til "&amp;TEXT(Ansøgning!B58,"dd-mm-åååå"))</f>
        <v/>
      </c>
    </row>
    <row r="70" spans="1:2" hidden="1" x14ac:dyDescent="0.25">
      <c r="A70" s="39" t="str">
        <f>"Realiseret omsætning i alt i forbudsreferenceperioden "&amp;B69</f>
        <v xml:space="preserve">Realiseret omsætning i alt i forbudsreferenceperioden </v>
      </c>
      <c r="B70" s="30" t="str">
        <f>IF(Ansøgning!B59="","",Ansøgning!B59)</f>
        <v/>
      </c>
    </row>
    <row r="71" spans="1:2" hidden="1" x14ac:dyDescent="0.25">
      <c r="A71" s="39" t="str">
        <f>"Realiseret kommerciel omsætning i alt i forbudsreferenceperioden "&amp;B69</f>
        <v xml:space="preserve">Realiseret kommerciel omsætning i alt i forbudsreferenceperioden </v>
      </c>
      <c r="B71" s="30" t="str">
        <f>IF(Ansøgning!B60="","",Ansøgning!B60)</f>
        <v/>
      </c>
    </row>
    <row r="72" spans="1:2" hidden="1" x14ac:dyDescent="0.25">
      <c r="A72" s="39" t="s">
        <v>66</v>
      </c>
      <c r="B72" s="30" t="str">
        <f>IF(ISNUMBER(Ansøgning!B61),Ansøgning!B61,"")</f>
        <v/>
      </c>
    </row>
    <row r="73" spans="1:2" hidden="1" x14ac:dyDescent="0.25">
      <c r="A73" s="16"/>
      <c r="B73" s="39"/>
    </row>
    <row r="74" spans="1:2" hidden="1" x14ac:dyDescent="0.25">
      <c r="A74" s="7" t="s">
        <v>30</v>
      </c>
      <c r="B74" s="52" t="str">
        <f>IF(OR(Ansøgning!B64="",Ansøgning!B65=""),"",TEXT(Ansøgning!B64,"dd-mm-åååå")&amp;" til "&amp;TEXT(Ansøgning!B65,"dd-mm-åååå"))</f>
        <v/>
      </c>
    </row>
    <row r="75" spans="1:2" hidden="1" x14ac:dyDescent="0.25">
      <c r="A75" s="39" t="str">
        <f>"Realiserede faste omkostninger i forbudsreferenceperioden "&amp;B74</f>
        <v xml:space="preserve">Realiserede faste omkostninger i forbudsreferenceperioden </v>
      </c>
      <c r="B75" s="30" t="str">
        <f>IF(Ansøgning!B78="","",Ansøgning!B78)</f>
        <v/>
      </c>
    </row>
    <row r="76" spans="1:2" hidden="1" x14ac:dyDescent="0.25">
      <c r="A76" s="39" t="str">
        <f>"Forventede faste omkostninger i forbudskompensationsperioden "&amp;IF(OR(B63="",B64=""),"",TEXT(B63,"dd-mm-åååå")&amp;" til "&amp;TEXT(B64,"dd-mm-åååå"))</f>
        <v>Forventede faste omkostninger i forbudskompensationsperioden Vælg/Indtast til Vælg/Indtast</v>
      </c>
      <c r="B76" s="30" t="str">
        <f>IF(Ansøgning!B80="","",Ansøgning!B80)</f>
        <v/>
      </c>
    </row>
    <row r="77" spans="1:2" hidden="1" x14ac:dyDescent="0.25">
      <c r="A77" s="39" t="str">
        <f>"Faktiske faste omkostninger i forbudskompensationsperioden "&amp;IF(OR(B63="",B64=""),"",TEXT(B63,"dd-mm-åååå")&amp;" til "&amp;TEXT(B64,"dd-mm-åååå"))</f>
        <v>Faktiske faste omkostninger i forbudskompensationsperioden Vælg/Indtast til Vælg/Indtast</v>
      </c>
      <c r="B77" s="30" t="str">
        <f>IF(B12="","",B12)</f>
        <v>Indtast beløb</v>
      </c>
    </row>
    <row r="78" spans="1:2" hidden="1" x14ac:dyDescent="0.25">
      <c r="A78" s="16" t="s">
        <v>13</v>
      </c>
      <c r="B78" s="21" t="str">
        <f>IF(OR(B75="",B77=""),"",(B77-B75)/B75)</f>
        <v/>
      </c>
    </row>
    <row r="79" spans="1:2" hidden="1" x14ac:dyDescent="0.25">
      <c r="A79" s="16" t="s">
        <v>14</v>
      </c>
      <c r="B79" s="53"/>
    </row>
    <row r="80" spans="1:2" hidden="1" x14ac:dyDescent="0.25">
      <c r="A80" s="16"/>
      <c r="B80" s="39"/>
    </row>
    <row r="81" spans="1:2" hidden="1" x14ac:dyDescent="0.25">
      <c r="A81" s="7" t="s">
        <v>19</v>
      </c>
      <c r="B81" s="21" t="str">
        <f>IF(OR(B67="",B71=""),"",(B72-B67)/B72)</f>
        <v/>
      </c>
    </row>
    <row r="82" spans="1:2" hidden="1" x14ac:dyDescent="0.25">
      <c r="A82" s="7" t="s">
        <v>56</v>
      </c>
      <c r="B82" s="22" t="str">
        <f>IF(B81="","",IF(B67&gt;0,IF(AND(B81&gt;=0.8,B81&lt;=1),2,IF(AND(B81&gt;=0.6,B81&lt;0.8),3,IF(AND(B81&gt;=0.35,B81&lt;0.6),4,IF(B81&lt;0.35,"Omsætningsnedgangen opfylder ikke kravet om nedgang på minimum 35 pct.")))),IF(B67=0,1,"")))</f>
        <v/>
      </c>
    </row>
    <row r="83" spans="1:2" hidden="1" x14ac:dyDescent="0.25">
      <c r="A83" s="7" t="s">
        <v>57</v>
      </c>
      <c r="B83" s="21" t="str">
        <f>IF(B82="","",IF(B82=1,1,IF(B82=2,0.8,IF(B82=3,0.5,IF(B82=4,0.25,IF(B82="Omsætningsnedgangen opfylder ikke kravet om nedgang på minimum 35 pct.",0))))))</f>
        <v/>
      </c>
    </row>
    <row r="84" spans="1:2" hidden="1" x14ac:dyDescent="0.25">
      <c r="A84" s="7" t="s">
        <v>58</v>
      </c>
      <c r="B84" s="21" t="str">
        <f>IF(B71="","",B71/B70)</f>
        <v/>
      </c>
    </row>
    <row r="85" spans="1:2" hidden="1" x14ac:dyDescent="0.25">
      <c r="A85" s="15"/>
      <c r="B85" s="54"/>
    </row>
    <row r="86" spans="1:2" hidden="1" x14ac:dyDescent="0.25">
      <c r="A86" s="18" t="s">
        <v>38</v>
      </c>
      <c r="B86" s="23">
        <f>IF(B83="",0,B77*B84*B83)</f>
        <v>0</v>
      </c>
    </row>
    <row r="87" spans="1:2" hidden="1" x14ac:dyDescent="0.25">
      <c r="B87" s="25"/>
    </row>
    <row r="88" spans="1:2" hidden="1" x14ac:dyDescent="0.25">
      <c r="A88" s="19" t="s">
        <v>22</v>
      </c>
      <c r="B88" s="46" t="e">
        <f>MAX(IF(B60="","",IF(B51*B45/B44&lt;16666,"De faste omkostningers andel af de kommercielle indtægters andel af de samlede indtægter opfylder ikke kravet om at udgøre minimum 16.666 kr. i kompensationsperioden. Der kan derfor ikke udbetales kompensation.",IF(IF(B82="Omsætningsnedgangen opfylder ikke kravet om nedgang på minimum 35 pct.",B7*107*106,B60+B86)&gt;110000000,110000000,IF(IF(B82="Omsætningsnedgangen opfylder ikke kravet om nedgang på minimum 35 pct.",B7*B107*B106,B60+B86)&gt;IF(OR(Ansøgning!B14&lt;&gt;"Institution stiftet efter 1. dec. 2019",B46=""),B45,B46)-B41,IF(OR(Ansøgning!B14&lt;&gt;"Institution stiftet efter 1. dec. 2019",B46=""),B45,B46)-B41,IF(B82="Omsætningsnedgangen opfylder ikke kravet om nedgang på minimum 35 pct.",B7*B107*B106,B60+B86))))),0)</f>
        <v>#VALUE!</v>
      </c>
    </row>
    <row r="89" spans="1:2" hidden="1" x14ac:dyDescent="0.25">
      <c r="B89" s="25"/>
    </row>
    <row r="90" spans="1:2" hidden="1" x14ac:dyDescent="0.25">
      <c r="A90" t="s">
        <v>43</v>
      </c>
      <c r="B90" s="25"/>
    </row>
    <row r="91" spans="1:2" hidden="1" x14ac:dyDescent="0.25">
      <c r="B91" s="25"/>
    </row>
    <row r="92" spans="1:2" hidden="1" x14ac:dyDescent="0.25">
      <c r="A92" s="16" t="s">
        <v>40</v>
      </c>
      <c r="B92" s="52" t="str">
        <f>IF(B19="","",B19)</f>
        <v>Nej</v>
      </c>
    </row>
    <row r="93" spans="1:2" hidden="1" x14ac:dyDescent="0.25">
      <c r="A93" s="16" t="s">
        <v>41</v>
      </c>
      <c r="B93" s="52" t="str">
        <f t="shared" ref="B93:B94" si="0">IF(B20="","",B20)</f>
        <v>Vælg/Indtast</v>
      </c>
    </row>
    <row r="94" spans="1:2" hidden="1" x14ac:dyDescent="0.25">
      <c r="A94" s="16" t="s">
        <v>59</v>
      </c>
      <c r="B94" s="52" t="str">
        <f t="shared" si="0"/>
        <v>Vælg/Indtast</v>
      </c>
    </row>
    <row r="95" spans="1:2" hidden="1" x14ac:dyDescent="0.25">
      <c r="A95" s="16" t="s">
        <v>42</v>
      </c>
      <c r="B95" s="30" t="str">
        <f>IF(B18="","",B18)</f>
        <v>Indtast beløb</v>
      </c>
    </row>
    <row r="96" spans="1:2" hidden="1" x14ac:dyDescent="0.25">
      <c r="B96" s="25"/>
    </row>
    <row r="97" spans="1:2" hidden="1" x14ac:dyDescent="0.25">
      <c r="A97" s="16" t="s">
        <v>21</v>
      </c>
      <c r="B97" s="30">
        <f>IF(B95&lt;0,ABS(B95)*B106*B107,0)</f>
        <v>0</v>
      </c>
    </row>
    <row r="98" spans="1:2" hidden="1" x14ac:dyDescent="0.25">
      <c r="A98" s="16" t="s">
        <v>61</v>
      </c>
      <c r="B98" s="21" t="e">
        <f>IF(B97="","",B97/B88)</f>
        <v>#VALUE!</v>
      </c>
    </row>
    <row r="99" spans="1:2" hidden="1" x14ac:dyDescent="0.25">
      <c r="A99" s="24" t="s">
        <v>112</v>
      </c>
      <c r="B99" s="95"/>
    </row>
    <row r="100" spans="1:2" hidden="1" x14ac:dyDescent="0.25">
      <c r="A100" s="24"/>
      <c r="B100" s="96"/>
    </row>
    <row r="101" spans="1:2" ht="45" hidden="1" x14ac:dyDescent="0.25">
      <c r="A101" s="35" t="s">
        <v>128</v>
      </c>
      <c r="B101" s="94"/>
    </row>
    <row r="102" spans="1:2" hidden="1" x14ac:dyDescent="0.25">
      <c r="A102" s="16" t="s">
        <v>129</v>
      </c>
      <c r="B102" s="99" t="str">
        <f>IF(B27="","",B27)</f>
        <v>Vælg/Indtast</v>
      </c>
    </row>
    <row r="103" spans="1:2" hidden="1" x14ac:dyDescent="0.25">
      <c r="A103" s="24"/>
      <c r="B103" s="96"/>
    </row>
    <row r="104" spans="1:2" hidden="1" x14ac:dyDescent="0.25">
      <c r="A104" s="27" t="s">
        <v>44</v>
      </c>
      <c r="B104" s="28" t="str">
        <f>IF(OR(B41="",B45=""),"",(IF(OR(Ansøgning!B14&lt;&gt;"Institution stiftet efter 1. dec. 2019",B46=""),B45,B46)-B41)/IF(OR(Ansøgning!B14&lt;&gt;"Institution stiftet efter 1. dec. 2019",B46=""),B45,B46))</f>
        <v/>
      </c>
    </row>
    <row r="105" spans="1:2" hidden="1" x14ac:dyDescent="0.25">
      <c r="A105" s="27" t="s">
        <v>45</v>
      </c>
      <c r="B105" s="29" t="str">
        <f>IF(B104="","",IF(OR($B$37="Ikke forbud",AND($B$37="Hele kompensationsperioden",$B$41&gt;0),$B$37="Dele af kompensationsperioden"),IF(AND(B104&gt;=0.8,B104&lt;=1),2,IF(AND(B104&gt;=0.6,B104&lt;8),3,IF(AND(B104&gt;=0.35,B104&lt;0.6),4,IF(B104&lt;0.35,"Omsætningsnedgangen opfylder ikke kravet om nedgang på minimum 35 pct.")))),IF(AND($B$37="Hele kompensationsperioden",$B$41=0),1)))</f>
        <v/>
      </c>
    </row>
    <row r="106" spans="1:2" hidden="1" x14ac:dyDescent="0.25">
      <c r="A106" s="27" t="s">
        <v>46</v>
      </c>
      <c r="B106" s="28" t="str">
        <f>IF(B105="","",IF(B105=1,1,IF(B105=2,0.8,IF(B105=3,0.5,IF(B105=4,0.25,IF(B105="Omsætningsnedgangen opfylder ikke kravet om nedgang på minimum 35 pct.",0))))))</f>
        <v/>
      </c>
    </row>
    <row r="107" spans="1:2" hidden="1" x14ac:dyDescent="0.25">
      <c r="A107" s="27" t="s">
        <v>47</v>
      </c>
      <c r="B107" s="28" t="str">
        <f>IF(B106="","",B45/B44)</f>
        <v/>
      </c>
    </row>
    <row r="108" spans="1:2" hidden="1" x14ac:dyDescent="0.25">
      <c r="A108" s="4"/>
      <c r="B108" s="97"/>
    </row>
    <row r="109" spans="1:2" hidden="1" x14ac:dyDescent="0.25">
      <c r="A109" t="s">
        <v>48</v>
      </c>
      <c r="B109" s="25"/>
    </row>
    <row r="110" spans="1:2" hidden="1" x14ac:dyDescent="0.25">
      <c r="A110" t="s">
        <v>120</v>
      </c>
      <c r="B110" s="25"/>
    </row>
    <row r="111" spans="1:2" hidden="1" x14ac:dyDescent="0.25">
      <c r="B111" s="25"/>
    </row>
    <row r="112" spans="1:2" hidden="1" x14ac:dyDescent="0.25">
      <c r="A112" s="63" t="s">
        <v>121</v>
      </c>
      <c r="B112" s="64" t="str">
        <f>IF(Ansøgning!B117="","",Ansøgning!B117)</f>
        <v/>
      </c>
    </row>
    <row r="113" spans="1:2" hidden="1" x14ac:dyDescent="0.25">
      <c r="A113" s="32" t="s">
        <v>49</v>
      </c>
      <c r="B113" s="33">
        <f>IF(OR(ISTEXT(B88),B112=""),0,IF(B112*0.8&gt;16000,16000,B112*0.8))</f>
        <v>0</v>
      </c>
    </row>
    <row r="114" spans="1:2" hidden="1" x14ac:dyDescent="0.25">
      <c r="B114" s="25"/>
    </row>
    <row r="115" spans="1:2" hidden="1" x14ac:dyDescent="0.25">
      <c r="A115" s="18" t="s">
        <v>60</v>
      </c>
      <c r="B115" s="34">
        <f>MAX(IF(ISNUMBER(B88),IF(B88-IF(ISNUMBER(B97),B97,0)&gt;0,IF(B97="",B88+B113,IF(B98&lt;0.5,B88+B113-B97,IF(B102="Nej",B88+B113-B97,IF(AND(B98&gt;0.5,B102="Ja"),B88*0.5+B113)))),0),0),0)</f>
        <v>0</v>
      </c>
    </row>
  </sheetData>
  <sheetProtection formatColumns="0"/>
  <conditionalFormatting sqref="A67:B67 A77:B77">
    <cfRule type="expression" dxfId="56" priority="22">
      <formula>$B$37="Dele af kompensationsperioden"</formula>
    </cfRule>
  </conditionalFormatting>
  <conditionalFormatting sqref="A53:B53">
    <cfRule type="expression" dxfId="55" priority="25">
      <formula>ABS($B$52)&gt;0.1</formula>
    </cfRule>
  </conditionalFormatting>
  <conditionalFormatting sqref="A79:B79">
    <cfRule type="expression" dxfId="54" priority="27">
      <formula>ABS($B$78)&gt;0.1</formula>
    </cfRule>
  </conditionalFormatting>
  <conditionalFormatting sqref="A93">
    <cfRule type="expression" dxfId="53" priority="19">
      <formula>$B$92="Ja"</formula>
    </cfRule>
    <cfRule type="expression" dxfId="52" priority="21">
      <formula>$B$92="Ja"</formula>
    </cfRule>
  </conditionalFormatting>
  <conditionalFormatting sqref="A94">
    <cfRule type="expression" dxfId="51" priority="18">
      <formula>$B$93="Nej"</formula>
    </cfRule>
  </conditionalFormatting>
  <conditionalFormatting sqref="A95:B95">
    <cfRule type="expression" dxfId="50" priority="17">
      <formula>$B$94="Nej"</formula>
    </cfRule>
  </conditionalFormatting>
  <conditionalFormatting sqref="A97:B97">
    <cfRule type="expression" dxfId="49" priority="13">
      <formula>AND($B$92="Ja",$B$93="Nej",$B$94="Nej",$B$95="")</formula>
    </cfRule>
  </conditionalFormatting>
  <conditionalFormatting sqref="B98">
    <cfRule type="expression" dxfId="48" priority="12">
      <formula>AND(ISNUMBER($B$98),$B$98&gt;0.5)</formula>
    </cfRule>
  </conditionalFormatting>
  <conditionalFormatting sqref="A102:B102">
    <cfRule type="expression" dxfId="47" priority="11">
      <formula>AND(ISNUMBER($B$98),$B$98&gt;0.5)</formula>
    </cfRule>
  </conditionalFormatting>
  <conditionalFormatting sqref="A21:B21">
    <cfRule type="expression" dxfId="46" priority="7">
      <formula>$B$20="Nej"</formula>
    </cfRule>
  </conditionalFormatting>
  <conditionalFormatting sqref="B24">
    <cfRule type="expression" dxfId="45" priority="6">
      <formula>AND(ISNUMBER($B$24),$B$24&gt;0.5)</formula>
    </cfRule>
  </conditionalFormatting>
  <conditionalFormatting sqref="A27:B27">
    <cfRule type="expression" dxfId="44" priority="5">
      <formula>AND(ISNUMBER($B$76),$B$76&gt;0.5)</formula>
    </cfRule>
  </conditionalFormatting>
  <conditionalFormatting sqref="A26:B27">
    <cfRule type="expression" dxfId="43" priority="4">
      <formula>AND(ISNUMBER($B$24),$B$24&gt;0.5)</formula>
    </cfRule>
  </conditionalFormatting>
  <conditionalFormatting sqref="A20:B20">
    <cfRule type="expression" dxfId="42" priority="3">
      <formula>$B$19="Ja"</formula>
    </cfRule>
  </conditionalFormatting>
  <conditionalFormatting sqref="A18:B18">
    <cfRule type="expression" dxfId="41" priority="1">
      <formula>ISNUMBER($B$17)</formula>
    </cfRule>
  </conditionalFormatting>
  <dataValidations count="3">
    <dataValidation type="list" showInputMessage="1" showErrorMessage="1" errorTitle="Ugyldig dato" error="Der skal oplyses en dato i perioden 9. marts 2020-8. juli 2020." sqref="B36 B42 B38">
      <formula1>Kompensationsperiode</formula1>
    </dataValidation>
    <dataValidation type="list" showInputMessage="1" showErrorMessage="1" sqref="B27">
      <formula1>FastholdeUdbetaling</formula1>
    </dataValidation>
    <dataValidation type="list" showInputMessage="1" showErrorMessage="1" errorTitle="Ugyldig indtastning" error="Der skal vælges mellem Ja/Nej." sqref="B20:B21">
      <formula1>NegativtResultat</formula1>
    </dataValidation>
  </dataValidations>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workbookViewId="0">
      <selection activeCell="A27" sqref="A27"/>
    </sheetView>
  </sheetViews>
  <sheetFormatPr defaultRowHeight="15" x14ac:dyDescent="0.25"/>
  <cols>
    <col min="1" max="1" width="104.140625" customWidth="1"/>
    <col min="2" max="2" width="18" style="16" customWidth="1"/>
    <col min="3" max="3" width="17" style="73" customWidth="1"/>
    <col min="4" max="4" width="20.5703125" style="74" customWidth="1"/>
  </cols>
  <sheetData>
    <row r="1" spans="1:4" x14ac:dyDescent="0.25">
      <c r="A1" s="1" t="s">
        <v>98</v>
      </c>
      <c r="B1" s="69" t="s">
        <v>114</v>
      </c>
      <c r="C1" s="80" t="s">
        <v>115</v>
      </c>
      <c r="D1" s="81" t="s">
        <v>100</v>
      </c>
    </row>
    <row r="2" spans="1:4" x14ac:dyDescent="0.25">
      <c r="A2" s="73" t="s">
        <v>130</v>
      </c>
    </row>
    <row r="5" spans="1:4" x14ac:dyDescent="0.25">
      <c r="A5" t="s">
        <v>105</v>
      </c>
    </row>
    <row r="6" spans="1:4" x14ac:dyDescent="0.25">
      <c r="A6" t="s">
        <v>106</v>
      </c>
    </row>
    <row r="8" spans="1:4" x14ac:dyDescent="0.25">
      <c r="A8" t="str">
        <f>+Ansøgning!A12</f>
        <v>Forventet kommerciel omsætning i kompensationsperioden</v>
      </c>
      <c r="B8" s="83">
        <f>+Ansøgning!B12</f>
        <v>0</v>
      </c>
      <c r="C8" s="84"/>
      <c r="D8" s="85">
        <f>IFERROR(+C8-B8,"")</f>
        <v>0</v>
      </c>
    </row>
    <row r="11" spans="1:4" x14ac:dyDescent="0.25">
      <c r="A11" s="4" t="s">
        <v>101</v>
      </c>
    </row>
    <row r="12" spans="1:4" x14ac:dyDescent="0.25">
      <c r="A12" s="72" t="s">
        <v>103</v>
      </c>
      <c r="B12" s="77" t="e">
        <f>+MID(A14,FIND("perioden",A14,1)+9,10)</f>
        <v>#VALUE!</v>
      </c>
      <c r="C12" s="78"/>
      <c r="D12" s="76" t="e">
        <f>+IF(B12=C12,"SAND","FALSK")</f>
        <v>#VALUE!</v>
      </c>
    </row>
    <row r="13" spans="1:4" x14ac:dyDescent="0.25">
      <c r="A13" s="72" t="s">
        <v>104</v>
      </c>
      <c r="B13" s="77" t="e">
        <f>+MID(A14,FIND("perioden",A14,1)+24,10)</f>
        <v>#VALUE!</v>
      </c>
      <c r="C13" s="79"/>
      <c r="D13" s="76" t="e">
        <f>+IF(B13=C13,"SAND","FALSK")</f>
        <v>#VALUE!</v>
      </c>
    </row>
    <row r="14" spans="1:4" x14ac:dyDescent="0.25">
      <c r="A14" t="str">
        <f>+Ansøgning!A19</f>
        <v>Realiseret omsætning i alt i den angivet periode</v>
      </c>
      <c r="B14" s="83">
        <f>+Ansøgning!B19</f>
        <v>0</v>
      </c>
      <c r="C14" s="84"/>
      <c r="D14" s="85">
        <f>IFERROR(+C14-B14,"")</f>
        <v>0</v>
      </c>
    </row>
    <row r="15" spans="1:4" x14ac:dyDescent="0.25">
      <c r="A15" t="str">
        <f>+Ansøgning!A20</f>
        <v>Realiseret kommerciel omsætning i alt i den angivne perioden</v>
      </c>
      <c r="B15" s="83">
        <f>+Ansøgning!B20</f>
        <v>0</v>
      </c>
      <c r="C15" s="84"/>
      <c r="D15" s="85">
        <f>IFERROR(+C15-B15,"")</f>
        <v>0</v>
      </c>
    </row>
    <row r="16" spans="1:4" x14ac:dyDescent="0.25">
      <c r="B16" s="83"/>
      <c r="C16" s="84"/>
      <c r="D16" s="85"/>
    </row>
    <row r="17" spans="1:4" x14ac:dyDescent="0.25">
      <c r="A17" t="str">
        <f>+Ansøgning!A21</f>
        <v>Opskaleret kommerciel omsætning svarende til en periode på tre måneder (institutioner stiftet efter 1. dec. 2019)</v>
      </c>
      <c r="B17" s="83" t="str">
        <f>+IF(OR(Ansøgning!B17="",Ansøgning!B18="",Ansøgning!B20=""),"",IF(AND(Ansøgning!B14="Institution stiftet efter 1. dec. 2019",AND(Ansøgning!B17&lt;&gt;"",Ansøgning!B18&lt;&gt;""),OR(AND(AND(Ansøgning!B17&gt;=DATE(2019,12,1),Ansøgning!B17&lt;=DATE(2019,12,31)),AND(Ansøgning!B18&gt;=DATE(2020,1,1),Ansøgning!B18&lt;=DATE(2020,1,31)),_xlfn.DAYS(Ansøgning!B18,Ansøgning!B17)+1&gt;=31),AND(AND(Ansøgning!B17&gt;=DATE(2020,1,1),Ansøgning!B17&lt;=DATE(2020,1,30)),AND(Ansøgning!B18&gt;=DATE(2020,2,1),Ansøgning!B18&lt;=DATE(2020,2,29)),_xlfn.DAYS(Ansøgning!B18,Ansøgning!B17)+1&gt;=31),AND(Ansøgning!B17=DATE(2020,1,31),Ansøgning!B18=DATE(2020,2,29)),AND(AND(Ansøgning!B17&gt;=DATE(2020,2,1),Ansøgning!B17&lt;=DATE(2020,2,29)),AND(Ansøgning!B18&gt;=DATE(2020,3,1),Ansøgning!B18&lt;=DATE(2020,3,9)),_xlfn.DAYS(Ansøgning!B18,Ansøgning!B17)+1&gt;=29),AND(Ansøgning!B17=DATE(2019,12,1),Ansøgning!B18=DATE(2019,12,31)),AND(Ansøgning!B17=DATE(2020,1,1),Ansøgning!B18=DATE(2020,1,31)),AND(Ansøgning!B17=DATE(2020,2,1),Ansøgning!B18=DATE(2020,2,29)))),Ansøgning!B20*(122/(_xlfn.DAYS(Ansøgning!B18,Ansøgning!B17)+1)),IF(Ansøgning!B14&lt;&gt;"Institution stiftet efter 1. dec. 2019","","Referenceperioden skal minimum opgøre en måned.")))</f>
        <v/>
      </c>
      <c r="C17" s="84"/>
      <c r="D17" s="85" t="str">
        <f>+IFERROR(C17-B17,"")</f>
        <v/>
      </c>
    </row>
    <row r="18" spans="1:4" x14ac:dyDescent="0.25">
      <c r="B18" s="83"/>
      <c r="C18" s="84"/>
      <c r="D18" s="85"/>
    </row>
    <row r="19" spans="1:4" x14ac:dyDescent="0.25">
      <c r="A19" s="75" t="s">
        <v>102</v>
      </c>
      <c r="B19" s="83"/>
      <c r="C19" s="84"/>
      <c r="D19" s="85"/>
    </row>
    <row r="20" spans="1:4" x14ac:dyDescent="0.25">
      <c r="B20" s="83"/>
      <c r="C20" s="84"/>
      <c r="D20" s="85"/>
    </row>
    <row r="21" spans="1:4" x14ac:dyDescent="0.25">
      <c r="A21" t="str">
        <f>+Ansøgning!A38</f>
        <v xml:space="preserve">Realiserede faste omkostninger </v>
      </c>
      <c r="B21" s="86" t="str">
        <f>+Ansøgning!B38</f>
        <v/>
      </c>
      <c r="C21" s="84"/>
      <c r="D21" s="85" t="str">
        <f>IFERROR(+C21-B21,"")</f>
        <v/>
      </c>
    </row>
    <row r="22" spans="1:4" x14ac:dyDescent="0.25">
      <c r="A22" t="str">
        <f>+Ansøgning!A39</f>
        <v>Forventede faste omkostninger i kompensationsperioden</v>
      </c>
      <c r="B22" s="83">
        <f>+Ansøgning!B39</f>
        <v>0</v>
      </c>
      <c r="C22" s="84"/>
      <c r="D22" s="85">
        <f>IFERROR(+C22-B22,"")</f>
        <v>0</v>
      </c>
    </row>
    <row r="23" spans="1:4" x14ac:dyDescent="0.25">
      <c r="B23" s="83"/>
      <c r="C23" s="84"/>
      <c r="D23" s="85"/>
    </row>
    <row r="24" spans="1:4" x14ac:dyDescent="0.25">
      <c r="A24" t="s">
        <v>117</v>
      </c>
      <c r="B24" s="83">
        <f>+Ansøgning!B98</f>
        <v>0</v>
      </c>
      <c r="C24" s="84"/>
      <c r="D24" s="85">
        <f>IFERROR(+C24-B24,"")</f>
        <v>0</v>
      </c>
    </row>
    <row r="25" spans="1:4" x14ac:dyDescent="0.25">
      <c r="B25" s="83"/>
      <c r="C25" s="84"/>
      <c r="D25" s="85"/>
    </row>
    <row r="26" spans="1:4" x14ac:dyDescent="0.25">
      <c r="A26" s="4" t="str">
        <f>+Ansøgning!A91</f>
        <v>FORVENTET KOMPENSATIONSBELØB I ALT</v>
      </c>
      <c r="B26" s="83" t="e">
        <f>IF(Ansøgning!B48="","",IF(Ansøgning!B39*Ansøgning!B20/Ansøgning!B19&lt;16666,"De faste omkostningers andel af de kommercielle indtægters andel af de samlede indtægter opfylder ikke kravet om at udgøre minimum 16.666 kr. i kompensationsperioden. Der kan derfor ikke udbetales kompensation.",IF(Ansøgning!B48+Ansøgning!B89&gt;110000000,110000000,IF(Ansøgning!B48+Ansøgning!B89&gt;IF(OR(Ansøgning!B14&lt;&gt;"Institution stiftet efter 1. dec. 2019",Ansøgning!B21=""),Ansøgning!B20,Ansøgning!B21)-Ansøgning!B12,IF(OR(Ansøgning!B14&lt;&gt;"Institution stiftet efter 1. dec. 2019",Ansøgning!B21=""),Ansøgning!B20,Ansøgning!B21)-Ansøgning!B12,Ansøgning!B48+Ansøgning!B89))))</f>
        <v>#DIV/0!</v>
      </c>
      <c r="C26" s="84"/>
      <c r="D26" s="85" t="str">
        <f>IFERROR(+C26-B26,"")</f>
        <v/>
      </c>
    </row>
  </sheetData>
  <conditionalFormatting sqref="B21">
    <cfRule type="expression" dxfId="40" priority="123">
      <formula>#REF!="Nystartet institution"</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workbookViewId="0">
      <selection activeCell="A19" sqref="A19"/>
    </sheetView>
  </sheetViews>
  <sheetFormatPr defaultRowHeight="15" x14ac:dyDescent="0.25"/>
  <cols>
    <col min="1" max="1" width="104.140625" customWidth="1"/>
    <col min="2" max="2" width="16.28515625" style="16" customWidth="1"/>
    <col min="3" max="3" width="16.85546875" style="73" customWidth="1"/>
    <col min="4" max="4" width="16.140625" style="74" customWidth="1"/>
  </cols>
  <sheetData>
    <row r="1" spans="1:4" x14ac:dyDescent="0.25">
      <c r="A1" s="1" t="s">
        <v>113</v>
      </c>
      <c r="B1" s="69" t="s">
        <v>99</v>
      </c>
      <c r="C1" s="80" t="s">
        <v>116</v>
      </c>
      <c r="D1" s="81" t="s">
        <v>100</v>
      </c>
    </row>
    <row r="2" spans="1:4" x14ac:dyDescent="0.25">
      <c r="A2" s="73" t="s">
        <v>130</v>
      </c>
    </row>
    <row r="5" spans="1:4" x14ac:dyDescent="0.25">
      <c r="A5" t="s">
        <v>105</v>
      </c>
    </row>
    <row r="6" spans="1:4" x14ac:dyDescent="0.25">
      <c r="A6" t="s">
        <v>106</v>
      </c>
    </row>
    <row r="8" spans="1:4" x14ac:dyDescent="0.25">
      <c r="A8" s="4" t="str">
        <f>+Afrapportering!A4</f>
        <v>NEDENSTÅENDE OPLYSES FOR HELE KOMPENSATIONSPERIODEN</v>
      </c>
    </row>
    <row r="9" spans="1:4" x14ac:dyDescent="0.25">
      <c r="A9" t="str">
        <f>+Afrapportering!A5</f>
        <v>Faktisk omsætning i alt i kompensationsperioden</v>
      </c>
      <c r="B9" s="83" t="str">
        <f>+Afrapportering!B5</f>
        <v>Indtast beløb</v>
      </c>
      <c r="C9" s="84"/>
      <c r="D9" s="85" t="str">
        <f>IFERROR(+C9-B9,"")</f>
        <v/>
      </c>
    </row>
    <row r="10" spans="1:4" x14ac:dyDescent="0.25">
      <c r="A10" t="str">
        <f>+Afrapportering!A6</f>
        <v>Faktisk kommerciel omsætning i alt i kompensationsperioden</v>
      </c>
      <c r="B10" s="83" t="str">
        <f>+Afrapportering!B6</f>
        <v>Indtast beløb</v>
      </c>
      <c r="C10" s="84"/>
      <c r="D10" s="85" t="str">
        <f>IFERROR(+C10-B10,"")</f>
        <v/>
      </c>
    </row>
    <row r="11" spans="1:4" x14ac:dyDescent="0.25">
      <c r="A11" t="str">
        <f>+Afrapportering!A7</f>
        <v>Faktiske faste omkostninger i kompensationsperioden</v>
      </c>
      <c r="B11" s="83" t="str">
        <f>+Afrapportering!B7</f>
        <v>Indtast beløb</v>
      </c>
      <c r="C11" s="84"/>
      <c r="D11" s="85" t="str">
        <f>IFERROR(+C11-B11,"")</f>
        <v/>
      </c>
    </row>
    <row r="14" spans="1:4" x14ac:dyDescent="0.25">
      <c r="A14" s="4" t="str">
        <f>+Afrapportering!A9</f>
        <v>NEDENSTÅENDE OPLYSES FOR FORBUDSPERIODEN, HVIS DER HAR VÆRET ÅBNINGSFORBUD I DELE AF KOMPENSATIONSPERIODEN</v>
      </c>
    </row>
    <row r="15" spans="1:4" x14ac:dyDescent="0.25">
      <c r="A15" s="72" t="s">
        <v>103</v>
      </c>
      <c r="B15" s="82" t="str">
        <f>+MID(A18,FIND("perioden",A18,1)+9,10)</f>
        <v/>
      </c>
      <c r="C15" s="78"/>
      <c r="D15" s="76" t="str">
        <f>+IF(B15=C15,"SAND","FALSK")</f>
        <v>SAND</v>
      </c>
    </row>
    <row r="16" spans="1:4" x14ac:dyDescent="0.25">
      <c r="A16" s="72" t="s">
        <v>104</v>
      </c>
      <c r="B16" s="77" t="str">
        <f>+MID(A18,FIND("perioden",A18,1)+24,10)</f>
        <v/>
      </c>
      <c r="C16" s="79"/>
      <c r="D16" s="76" t="str">
        <f>+IF(B16=C16,"SAND","FALSK")</f>
        <v>SAND</v>
      </c>
    </row>
    <row r="17" spans="1:4" x14ac:dyDescent="0.25">
      <c r="A17" s="4" t="s">
        <v>109</v>
      </c>
      <c r="B17" s="77"/>
      <c r="C17" s="79"/>
      <c r="D17" s="76"/>
    </row>
    <row r="18" spans="1:4" x14ac:dyDescent="0.25">
      <c r="A18" t="str">
        <f>+Afrapportering!A10</f>
        <v xml:space="preserve">Faktisk omsætning i alt i forbudskompensationsperioden </v>
      </c>
      <c r="B18" s="83" t="str">
        <f>+Afrapportering!B10</f>
        <v>Indtast beløb</v>
      </c>
      <c r="C18" s="84"/>
      <c r="D18" s="85" t="str">
        <f>IFERROR(+C18-B18,"")</f>
        <v/>
      </c>
    </row>
    <row r="19" spans="1:4" x14ac:dyDescent="0.25">
      <c r="A19" t="str">
        <f>+Afrapportering!A11</f>
        <v xml:space="preserve">Faktisk kommerciel omsætning i alt i forbudskompensationsperioden </v>
      </c>
      <c r="B19" s="83" t="str">
        <f>+Afrapportering!B11</f>
        <v>Indtast beløb</v>
      </c>
      <c r="C19" s="84"/>
      <c r="D19" s="85" t="str">
        <f>IFERROR(+C19-B19,"")</f>
        <v/>
      </c>
    </row>
    <row r="22" spans="1:4" x14ac:dyDescent="0.25">
      <c r="A22" s="75" t="s">
        <v>110</v>
      </c>
      <c r="B22" s="83"/>
      <c r="C22" s="84"/>
      <c r="D22" s="85"/>
    </row>
    <row r="23" spans="1:4" x14ac:dyDescent="0.25">
      <c r="B23" s="83"/>
      <c r="C23" s="84"/>
      <c r="D23" s="85"/>
    </row>
    <row r="24" spans="1:4" x14ac:dyDescent="0.25">
      <c r="A24" t="str">
        <f>+Afrapportering!A12</f>
        <v xml:space="preserve">Faktiske faste omkostninger i forbudskompensationsperioden </v>
      </c>
      <c r="B24" s="86" t="str">
        <f>+Afrapportering!B12</f>
        <v>Indtast beløb</v>
      </c>
      <c r="C24" s="84"/>
      <c r="D24" s="85" t="str">
        <f>IFERROR(+C24-B24,"")</f>
        <v/>
      </c>
    </row>
    <row r="25" spans="1:4" x14ac:dyDescent="0.25">
      <c r="B25" s="86"/>
      <c r="C25" s="84"/>
      <c r="D25" s="85"/>
    </row>
    <row r="26" spans="1:4" x14ac:dyDescent="0.25">
      <c r="A26" t="s">
        <v>117</v>
      </c>
      <c r="B26" s="83" t="str">
        <f>+Afrapportering!B95</f>
        <v>Indtast beløb</v>
      </c>
      <c r="C26" s="84"/>
      <c r="D26" s="85" t="str">
        <f>IFERROR(+C26-B26,"")</f>
        <v/>
      </c>
    </row>
    <row r="27" spans="1:4" x14ac:dyDescent="0.25">
      <c r="B27" s="83"/>
      <c r="C27" s="84"/>
      <c r="D27" s="85"/>
    </row>
    <row r="28" spans="1:4" x14ac:dyDescent="0.25">
      <c r="A28" s="4" t="str">
        <f>+Afrapportering!A15</f>
        <v>Faktisk kompensationsbeløb ekskl. eventuel reduktion og godtgørelse af revisorudgifter</v>
      </c>
      <c r="B28" s="83" t="str">
        <f>+Afrapportering!B15</f>
        <v/>
      </c>
      <c r="C28" s="84"/>
      <c r="D28" s="85" t="str">
        <f>IFERROR(+C28-B28,"")</f>
        <v/>
      </c>
    </row>
    <row r="29" spans="1:4" x14ac:dyDescent="0.25">
      <c r="A29" s="4" t="str">
        <f>+Afrapportering!A29</f>
        <v>FAKTISK KOMPENSATIONSBELØB</v>
      </c>
      <c r="B29" s="83">
        <f>+Afrapportering!B29</f>
        <v>0</v>
      </c>
      <c r="C29" s="84"/>
      <c r="D29" s="85">
        <f t="shared" ref="D29:D30" si="0">+C29-B29</f>
        <v>0</v>
      </c>
    </row>
    <row r="30" spans="1:4" x14ac:dyDescent="0.25">
      <c r="A30" s="4" t="str">
        <f>+Afrapportering!A30</f>
        <v>EFTERREGULERING (- INSTITUTIONEN SKAL TILBAGEBETALE, + INSTITUTIONEN HAR KOMPENSATION TIL GODE)</v>
      </c>
      <c r="B30" s="83">
        <f>+Afrapportering!B30</f>
        <v>0</v>
      </c>
      <c r="C30" s="84"/>
      <c r="D30" s="85">
        <f t="shared" si="0"/>
        <v>0</v>
      </c>
    </row>
  </sheetData>
  <conditionalFormatting sqref="B24:B25">
    <cfRule type="expression" dxfId="39" priority="1">
      <formula>#REF!="Nystartet institution"</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2"/>
  <sheetViews>
    <sheetView workbookViewId="0">
      <selection activeCell="B7" sqref="B7"/>
    </sheetView>
  </sheetViews>
  <sheetFormatPr defaultRowHeight="15" x14ac:dyDescent="0.25"/>
  <cols>
    <col min="1" max="1" width="94.28515625" customWidth="1"/>
    <col min="2" max="2" width="53.140625" customWidth="1"/>
  </cols>
  <sheetData>
    <row r="1" spans="1:2" x14ac:dyDescent="0.25">
      <c r="A1" s="1" t="s">
        <v>124</v>
      </c>
      <c r="B1" s="2"/>
    </row>
    <row r="2" spans="1:2" ht="28.9" customHeight="1" x14ac:dyDescent="0.25">
      <c r="A2" s="37" t="s">
        <v>63</v>
      </c>
      <c r="B2" s="10"/>
    </row>
    <row r="3" spans="1:2" x14ac:dyDescent="0.25">
      <c r="A3" s="3"/>
      <c r="B3" s="9"/>
    </row>
    <row r="4" spans="1:2" x14ac:dyDescent="0.25">
      <c r="A4" s="3" t="s">
        <v>11</v>
      </c>
      <c r="B4" s="13">
        <f>Ansøgning!B4</f>
        <v>0</v>
      </c>
    </row>
    <row r="5" spans="1:2" x14ac:dyDescent="0.25">
      <c r="A5" s="4" t="s">
        <v>0</v>
      </c>
      <c r="B5" s="13">
        <f>Ansøgning!B5</f>
        <v>0</v>
      </c>
    </row>
    <row r="6" spans="1:2" x14ac:dyDescent="0.25">
      <c r="A6" s="7" t="s">
        <v>2</v>
      </c>
      <c r="B6" s="13">
        <f>Ansøgning!B6</f>
        <v>44174</v>
      </c>
    </row>
    <row r="7" spans="1:2" x14ac:dyDescent="0.25">
      <c r="A7" s="7" t="s">
        <v>3</v>
      </c>
      <c r="B7" s="13">
        <f>Ansøgning!B7</f>
        <v>44377</v>
      </c>
    </row>
    <row r="8" spans="1:2" x14ac:dyDescent="0.25">
      <c r="A8" s="4"/>
      <c r="B8" s="13">
        <f>Ansøgning!B8</f>
        <v>0</v>
      </c>
    </row>
    <row r="9" spans="1:2" x14ac:dyDescent="0.25">
      <c r="A9" s="4" t="s">
        <v>33</v>
      </c>
      <c r="B9" s="13" t="str">
        <f>Ansøgning!B9</f>
        <v>Vælg/Indtast</v>
      </c>
    </row>
    <row r="10" spans="1:2" x14ac:dyDescent="0.25">
      <c r="A10" s="4"/>
      <c r="B10" s="13">
        <f>Ansøgning!B10</f>
        <v>0</v>
      </c>
    </row>
    <row r="11" spans="1:2" x14ac:dyDescent="0.25">
      <c r="A11" s="4" t="s">
        <v>51</v>
      </c>
      <c r="B11" s="13">
        <f>Ansøgning!B11</f>
        <v>0</v>
      </c>
    </row>
    <row r="12" spans="1:2" x14ac:dyDescent="0.25">
      <c r="A12" t="s">
        <v>50</v>
      </c>
      <c r="B12" s="13">
        <f>Ansøgning!B12</f>
        <v>0</v>
      </c>
    </row>
    <row r="13" spans="1:2" x14ac:dyDescent="0.25">
      <c r="B13" s="13">
        <f>Ansøgning!B13</f>
        <v>0</v>
      </c>
    </row>
    <row r="14" spans="1:2" x14ac:dyDescent="0.25">
      <c r="A14" s="4" t="s">
        <v>26</v>
      </c>
      <c r="B14" s="13" t="str">
        <f>Ansøgning!B14</f>
        <v>Vælg/Indtast</v>
      </c>
    </row>
    <row r="15" spans="1:2" x14ac:dyDescent="0.25">
      <c r="A15" s="7" t="s">
        <v>35</v>
      </c>
      <c r="B15" s="13" t="str">
        <f>Ansøgning!B15</f>
        <v>Vælg/Indtast</v>
      </c>
    </row>
    <row r="16" spans="1:2" x14ac:dyDescent="0.25">
      <c r="A16" s="7" t="s">
        <v>36</v>
      </c>
      <c r="B16" s="13" t="str">
        <f>Ansøgning!B16</f>
        <v>Vælg/Indtast</v>
      </c>
    </row>
    <row r="17" spans="1:2" x14ac:dyDescent="0.25">
      <c r="A17" s="7" t="s">
        <v>28</v>
      </c>
      <c r="B17" s="13" t="str">
        <f>Ansøgning!B17</f>
        <v>Vælg/Indtast</v>
      </c>
    </row>
    <row r="18" spans="1:2" x14ac:dyDescent="0.25">
      <c r="A18" s="7" t="s">
        <v>39</v>
      </c>
      <c r="B18" s="13" t="str">
        <f>Ansøgning!B18</f>
        <v>Vælg/Indtast</v>
      </c>
    </row>
    <row r="19" spans="1:2" x14ac:dyDescent="0.25">
      <c r="A19" s="25" t="str">
        <f>"Realiseret omsætning i alt i perioden "&amp;IF($B$14="Anden referenceperiode (kun ved særlige omstændigheder)",IF(OR($B$15="",$B$16=""),"",TEXT($B$15,"dd-mm-åååå")&amp;" til "&amp;TEXT($B$16,"dd-mm-åååå")),IF($B$14="Institution stiftet efter 1. dec. 2019",IF(OR($B$17="",$B$18=""),"",TEXT($B$17,"dd-mm-åååå")&amp;" til "&amp;TEXT($B$18,"dd-mm-åååå")),IF($B$14="Vælg/Indtast","",$B$14)))</f>
        <v xml:space="preserve">Realiseret omsætning i alt i perioden </v>
      </c>
      <c r="B19" s="13">
        <f>Ansøgning!B19</f>
        <v>0</v>
      </c>
    </row>
    <row r="20" spans="1:2" x14ac:dyDescent="0.25">
      <c r="A20" s="25" t="str">
        <f>"Realiseret kommerciel omsætning i alt i perioden "&amp;IF($B$14="Anden referenceperiode (kun ved særlige omstændigheder)",IF(OR($B$15="",$B$16=""),"",TEXT($B$15,"dd-mm-åååå")&amp;" til "&amp;TEXT($B$16,"dd-mm-åååå")),IF($B$14="Institution stiftet efter 1. dec. 2019",IF(OR($B$17="",$B$18=""),"",TEXT($B$17,"dd-mm-åååå")&amp;" til "&amp;TEXT($B$18,"dd-mm-åååå")),IF($B$14="Vælg/Indtast","",$B$14)))</f>
        <v xml:space="preserve">Realiseret kommerciel omsætning i alt i perioden </v>
      </c>
      <c r="B20" s="13">
        <f>Ansøgning!B20</f>
        <v>0</v>
      </c>
    </row>
    <row r="21" spans="1:2" x14ac:dyDescent="0.25">
      <c r="A21" s="39" t="s">
        <v>65</v>
      </c>
      <c r="B21" s="30" t="e">
        <f>IF(OR(B17="",B18="",B20=""),"",IF(AND(B14="Institution stiftet efter 1. dec. 2019",AND(B17&lt;&gt;"",B18&lt;&gt;""),OR(AND(AND(B17&gt;=DATE(2019,12,1),B17&lt;=DATE(2019,12,31)),AND(B18&gt;=DATE(2020,1,1),B18&lt;=DATE(2020,1,31)),_xlfn.DAYS(B18,B17)+1&gt;=31),AND(AND(B17&gt;=DATE(2020,1,1),B17&lt;=DATE(2020,1,30)),AND(B18&gt;=DATE(2020,2,1),B18&lt;=DATE(2020,2,29)),_xlfn.DAYS(B18,B17)+1&gt;=31),AND(B17=DATE(2020,1,31),B18=DATE(2020,2,29)),AND(AND(B17&gt;=DATE(2020,2,1),B17&lt;=DATE(2020,2,29)),AND(B18&gt;=DATE(2020,3,1),B18&lt;=DATE(2020,3,9)),_xlfn.DAYS(B18,B17)+1&gt;=29),AND(B17=DATE(2019,12,1),B18=DATE(2019,12,31)),AND(B17=DATE(2020,1,1),B18=DATE(2020,1,31)),AND(B17=DATE(2020,2,1),B18=DATE(2020,2,29)))),B20*(122/(_xlfn.DAYS(B18,B17)+1)),IF(B14&lt;&gt;"Institution stiftet efter 1. dec. 2019","","Referenceperioden skal minimum opgøre en måned.")))</f>
        <v>#VALUE!</v>
      </c>
    </row>
    <row r="22" spans="1:2" x14ac:dyDescent="0.25">
      <c r="B22" s="49"/>
    </row>
    <row r="23" spans="1:2" x14ac:dyDescent="0.25">
      <c r="A23" s="4" t="s">
        <v>53</v>
      </c>
      <c r="B23" s="13" t="str">
        <f>Ansøgning!B23</f>
        <v>Vælg/Indtast</v>
      </c>
    </row>
    <row r="24" spans="1:2" x14ac:dyDescent="0.25">
      <c r="A24" s="7" t="s">
        <v>28</v>
      </c>
      <c r="B24" s="13" t="str">
        <f>Ansøgning!B24</f>
        <v>Vælg/Indtast</v>
      </c>
    </row>
    <row r="25" spans="1:2" x14ac:dyDescent="0.25">
      <c r="A25" s="7" t="s">
        <v>29</v>
      </c>
      <c r="B25" s="13" t="str">
        <f>Ansøgning!B25</f>
        <v>Vælg/Indtast</v>
      </c>
    </row>
    <row r="26" spans="1:2" x14ac:dyDescent="0.25">
      <c r="A26" s="15"/>
      <c r="B26" s="66"/>
    </row>
    <row r="27" spans="1:2" x14ac:dyDescent="0.25">
      <c r="A27" s="15" t="str">
        <f>"Oplys realiserede faste omkostninger "&amp;IF(B23="Vælg/Indtast","",IF(B23="Institution stiftet efter 1. dec. 2019",IF(OR(B24="",B25=""),"","i perioden "&amp;TEXT(B24,"dd-mm-åååå")&amp;" til "&amp;TEXT(B25,"dd-mm-åååå")),IF(B23="01-11-2019 til 29-02-2020","i perioden "&amp;B23)))</f>
        <v xml:space="preserve">Oplys realiserede faste omkostninger </v>
      </c>
      <c r="B27" s="66"/>
    </row>
    <row r="28" spans="1:2" x14ac:dyDescent="0.25">
      <c r="A28" s="15"/>
      <c r="B28" s="66"/>
    </row>
    <row r="29" spans="1:2" x14ac:dyDescent="0.25">
      <c r="A29" s="70" t="s">
        <v>90</v>
      </c>
      <c r="B29" s="13">
        <f>Ansøgning!B29</f>
        <v>0</v>
      </c>
    </row>
    <row r="30" spans="1:2" x14ac:dyDescent="0.25">
      <c r="A30" s="59" t="s">
        <v>91</v>
      </c>
      <c r="B30" s="13">
        <f>Ansøgning!B30</f>
        <v>0</v>
      </c>
    </row>
    <row r="31" spans="1:2" x14ac:dyDescent="0.25">
      <c r="A31" s="59" t="s">
        <v>107</v>
      </c>
      <c r="B31" s="13">
        <f>Ansøgning!B31</f>
        <v>0</v>
      </c>
    </row>
    <row r="32" spans="1:2" x14ac:dyDescent="0.25">
      <c r="A32" s="59" t="s">
        <v>93</v>
      </c>
      <c r="B32" s="13">
        <f>Ansøgning!B32</f>
        <v>0</v>
      </c>
    </row>
    <row r="33" spans="1:2" x14ac:dyDescent="0.25">
      <c r="A33" s="59" t="s">
        <v>94</v>
      </c>
      <c r="B33" s="13">
        <f>Ansøgning!B33</f>
        <v>0</v>
      </c>
    </row>
    <row r="34" spans="1:2" x14ac:dyDescent="0.25">
      <c r="A34" s="59" t="s">
        <v>108</v>
      </c>
      <c r="B34" s="13">
        <f>Ansøgning!B34</f>
        <v>0</v>
      </c>
    </row>
    <row r="35" spans="1:2" x14ac:dyDescent="0.25">
      <c r="A35" s="59" t="s">
        <v>96</v>
      </c>
      <c r="B35" s="13">
        <f>Ansøgning!B35</f>
        <v>0</v>
      </c>
    </row>
    <row r="36" spans="1:2" x14ac:dyDescent="0.25">
      <c r="A36" s="71" t="s">
        <v>118</v>
      </c>
      <c r="B36" s="13">
        <f>Ansøgning!B36</f>
        <v>0</v>
      </c>
    </row>
    <row r="37" spans="1:2" x14ac:dyDescent="0.25">
      <c r="A37" s="15"/>
      <c r="B37" s="66"/>
    </row>
    <row r="38" spans="1:2" x14ac:dyDescent="0.25">
      <c r="A38" s="39" t="str">
        <f>"Realiserede faste omkostninger "&amp;IF(B23="Vælg/Indtast","",IF(B23="Institution stiftet efter 1. dec. 2019",IF(OR(B24="",B25=""),"","i perioden "&amp;TEXT(B24,"dd-mm-åååå")&amp;" til "&amp;TEXT(B25,"dd-mm-åååå")),IF(B23="01-11-2019 til 29-02-2020","i perioden "&amp;B23)))</f>
        <v xml:space="preserve">Realiserede faste omkostninger </v>
      </c>
      <c r="B38" s="30" t="str">
        <f>IF(SUM(B29:B36)=0,"",SUM(B29:B36))</f>
        <v/>
      </c>
    </row>
    <row r="39" spans="1:2" x14ac:dyDescent="0.25">
      <c r="A39" s="38" t="s">
        <v>15</v>
      </c>
      <c r="B39" s="13">
        <f>Ansøgning!B39</f>
        <v>0</v>
      </c>
    </row>
    <row r="40" spans="1:2" x14ac:dyDescent="0.25">
      <c r="A40" s="17" t="s">
        <v>13</v>
      </c>
      <c r="B40" s="21" t="str">
        <f>IF(OR(B38="",B39=""),"",(B39-B38)/B38)</f>
        <v/>
      </c>
    </row>
    <row r="41" spans="1:2" x14ac:dyDescent="0.25">
      <c r="A41" s="16" t="s">
        <v>14</v>
      </c>
      <c r="B41" s="20"/>
    </row>
    <row r="42" spans="1:2" x14ac:dyDescent="0.25">
      <c r="B42" s="14"/>
    </row>
    <row r="43" spans="1:2" x14ac:dyDescent="0.25">
      <c r="A43" s="7" t="s">
        <v>16</v>
      </c>
      <c r="B43" s="21">
        <f>IFERROR(IF(OR(B12="",B20=""),"",(IF(B14="Institution stiftet efter 1. dec. 2019",B21,B20)-IF(AND(B14="Institution stiftet efter 1. dec. 2019",B61=""),0,IF(AND(B14="Institution stiftet efter 1. dec. 2019",ISNUMBER(B61)),B61,ISNUMBER(B60)))-B12-ISNUMBER(B54))/(IF(B14="Institution stiftet efter 1. dec. 2019",B21,B20)-IF(AND(B14="Institution stiftet efter 1. dec. 2019",B61=""),0,IF(AND(B14="Institution stiftet efter 1. dec. 2019",ISNUMBER(B61)),B61,ISNUMBER(B60))))),"")</f>
        <v>2</v>
      </c>
    </row>
    <row r="44" spans="1:2" x14ac:dyDescent="0.25">
      <c r="A44" s="7" t="s">
        <v>54</v>
      </c>
      <c r="B44" s="22">
        <f>IF($B$43="","",IF(AND($B$9="Hele kompensationsperioden",$B$12=0),1,IF(AND($B$43&gt;=0.8,$B$43&lt;=1),2,IF(AND($B$43&gt;=0.6,$B$43&lt;8),3,IF(AND($B$43&gt;=0.35,$B$43&lt;0.6),4,IF($B$43&lt;0.35,"Omsætningsnedgangen opfylder ikke kravet om nedgang på minimum 35 pct."))))))</f>
        <v>3</v>
      </c>
    </row>
    <row r="45" spans="1:2" x14ac:dyDescent="0.25">
      <c r="A45" s="7" t="s">
        <v>55</v>
      </c>
      <c r="B45" s="21">
        <f>IF(B44="","",IF(B44=1,1,IF(B44=2,0.8,IF(B44=3,0.5,IF(B44=4,0.25,IF(ISTEXT(B44),0))))))</f>
        <v>0.5</v>
      </c>
    </row>
    <row r="46" spans="1:2" x14ac:dyDescent="0.25">
      <c r="A46" s="7" t="s">
        <v>64</v>
      </c>
      <c r="B46" s="21">
        <f>IFERROR(IF(B12="","",(B20-ISNUMBER(B60))/(B19-ISNUMBER(B59))),"")</f>
        <v>1</v>
      </c>
    </row>
    <row r="47" spans="1:2" x14ac:dyDescent="0.25">
      <c r="A47" s="15"/>
      <c r="B47" s="14"/>
    </row>
    <row r="48" spans="1:2" x14ac:dyDescent="0.25">
      <c r="A48" s="18" t="s">
        <v>97</v>
      </c>
      <c r="B48" s="23">
        <f>IF(B45="","",IF(B44="Omsætningsnedgangen opfylder ikke kravet om nedgang på minimum 35 pct.",0,(B39-ISNUMBER(B79))*B46*B45))</f>
        <v>-0.5</v>
      </c>
    </row>
    <row r="49" spans="1:2" x14ac:dyDescent="0.25">
      <c r="A49" s="4"/>
      <c r="B49" s="14"/>
    </row>
    <row r="50" spans="1:2" x14ac:dyDescent="0.25">
      <c r="A50" s="8" t="s">
        <v>17</v>
      </c>
      <c r="B50" s="16"/>
    </row>
    <row r="51" spans="1:2" x14ac:dyDescent="0.25">
      <c r="A51" s="16" t="s">
        <v>25</v>
      </c>
      <c r="B51" s="13" t="str">
        <f>Ansøgning!B51</f>
        <v>Vælg/Indtast</v>
      </c>
    </row>
    <row r="52" spans="1:2" x14ac:dyDescent="0.25">
      <c r="A52" s="16" t="s">
        <v>18</v>
      </c>
      <c r="B52" s="13" t="str">
        <f>Ansøgning!B52</f>
        <v>Vælg/Indtast</v>
      </c>
    </row>
    <row r="53" spans="1:2" x14ac:dyDescent="0.25">
      <c r="A53" s="16"/>
      <c r="B53" s="13">
        <f>Ansøgning!B53</f>
        <v>0</v>
      </c>
    </row>
    <row r="54" spans="1:2" x14ac:dyDescent="0.25">
      <c r="A54" s="39" t="str">
        <f>"Forventet kommerciel omsætning i alt i forbudskompensationsperioden "&amp;IF(OR($B$51="Vælg/Indtast",$B$52="Vælg/Indtast"),"",TEXT($B$51,"dd-mm-åååå")&amp;" til "&amp;TEXT($B$52,"dd-mm-åååå"))</f>
        <v xml:space="preserve">Forventet kommerciel omsætning i alt i forbudskompensationsperioden </v>
      </c>
      <c r="B54" s="13">
        <f>Ansøgning!B54</f>
        <v>0</v>
      </c>
    </row>
    <row r="55" spans="1:2" x14ac:dyDescent="0.25">
      <c r="A55" s="16"/>
      <c r="B55" s="13">
        <f>Ansøgning!B55</f>
        <v>0</v>
      </c>
    </row>
    <row r="56" spans="1:2" x14ac:dyDescent="0.25">
      <c r="A56" s="7" t="s">
        <v>27</v>
      </c>
      <c r="B56" s="13">
        <f>Ansøgning!B56</f>
        <v>0</v>
      </c>
    </row>
    <row r="57" spans="1:2" x14ac:dyDescent="0.25">
      <c r="A57" s="40" t="str">
        <f>"Referenceperiode start dato"&amp;" "&amp;IF($B$14="Anden referenceperiode","(i perioden "&amp;TEXT($B$15,"dd-mm-åååå")&amp;" til "&amp;TEXT($B$16,"dd-mm-åååå")&amp;")",IF($B$14="Institution stiftet efter 1. dec. 2019","(i perioden "&amp;TEXT($B$17,"dd-mm-åååå")&amp;" til "&amp;TEXT($B$18,"dd-mm-åååå")&amp;")",IF($B$14="Vælg/Indtast","","(i perioden "&amp;$B$14&amp;")")))</f>
        <v xml:space="preserve">Referenceperiode start dato </v>
      </c>
      <c r="B57" s="13">
        <f>Ansøgning!B57</f>
        <v>0</v>
      </c>
    </row>
    <row r="58" spans="1:2" x14ac:dyDescent="0.25">
      <c r="A58" s="40" t="str">
        <f>"Referenceperiode slut dato"&amp;" "&amp;IF($B$14="Anden referenceperiode","(i perioden "&amp;TEXT($B$15,"dd-mm-åååå")&amp;" til "&amp;TEXT($B$16,"dd-mm-åååå")&amp;")",IF($B$14="Institution stiftet efter 1. dec. 2019","(i perioden "&amp;TEXT($B$17,"dd-mm-åååå")&amp;" til "&amp;TEXT($B$18,"dd-mm-åååå")&amp;")",IF($B$14="Vælg/Indtast","","(i perioden "&amp;$B$14&amp;")")))</f>
        <v xml:space="preserve">Referenceperiode slut dato </v>
      </c>
      <c r="B58" s="13">
        <f>Ansøgning!B58</f>
        <v>0</v>
      </c>
    </row>
    <row r="59" spans="1:2" x14ac:dyDescent="0.25">
      <c r="A59" s="39" t="str">
        <f>"Realiseret omsætning i alt i forbudsreferenceperioden "&amp;IF(OR($B$57="",$B$58=""),"",TEXT($B$57,"dd-mm-åååå")&amp;" til "&amp;TEXT($B$58,"dd-mm-åååå"))</f>
        <v>Realiseret omsætning i alt i forbudsreferenceperioden 00-01-1900 til 00-01-1900</v>
      </c>
      <c r="B59" s="13">
        <f>Ansøgning!B59</f>
        <v>0</v>
      </c>
    </row>
    <row r="60" spans="1:2" x14ac:dyDescent="0.25">
      <c r="A60" s="39" t="str">
        <f>"Realiseret kommerciel omsætning i alt i forbudsreferenceperioden "&amp;IF(OR($B$57="",$B$58=""),"",TEXT($B$57,"dd-mm-åååå")&amp;" til "&amp;TEXT($B$58,"dd-mm-åååå"))</f>
        <v>Realiseret kommerciel omsætning i alt i forbudsreferenceperioden 00-01-1900 til 00-01-1900</v>
      </c>
      <c r="B60" s="13">
        <f>Ansøgning!B60</f>
        <v>0</v>
      </c>
    </row>
    <row r="61" spans="1:2" x14ac:dyDescent="0.25">
      <c r="A61" s="39" t="s">
        <v>66</v>
      </c>
      <c r="B61" s="30" t="str">
        <f>IF(AND(B14="Institution stiftet efter 1. dec. 2019",AND(B17&lt;&gt;"",B18&lt;&gt;""),B60&lt;&gt;""),B60*(_xlfn.DAYS(B52,B51)+1)/(_xlfn.DAYS(B58,B57)+1),"")</f>
        <v/>
      </c>
    </row>
    <row r="62" spans="1:2" x14ac:dyDescent="0.25">
      <c r="A62" s="16"/>
      <c r="B62" s="16"/>
    </row>
    <row r="63" spans="1:2" x14ac:dyDescent="0.25">
      <c r="A63" s="7" t="s">
        <v>30</v>
      </c>
      <c r="B63" s="16"/>
    </row>
    <row r="64" spans="1:2" x14ac:dyDescent="0.25">
      <c r="A64" s="40" t="str">
        <f>"Referenceperiode start dato "&amp;IF($B$23="Institution stiftet efter 1. dec. 2019",IF(OR(B24="",B25=""),"","(i perioden "&amp;TEXT($B$24,"dd-mm-åååå")&amp;" til "&amp;TEXT($B$25,"dd-mm-åååå")&amp;")"),IF($B$23="Vælg/Indtast","","(i perioden "&amp;B23&amp;")"))</f>
        <v xml:space="preserve">Referenceperiode start dato </v>
      </c>
      <c r="B64" s="13">
        <f>Ansøgning!B64</f>
        <v>0</v>
      </c>
    </row>
    <row r="65" spans="1:2" x14ac:dyDescent="0.25">
      <c r="A65" s="40" t="str">
        <f>"Referenceperiode slut dato "&amp;IF($B$23="Institution stiftet efter 1. dec. 2019",IF(OR(B25="",B38=""),"","(i perioden "&amp;TEXT($B$24,"dd-mm-åååå")&amp;" til "&amp;TEXT($B$25,"dd-mm-åååå")&amp;")"),IF($B$23="Vælg/Indtast","","(i perioden "&amp;B23&amp;")"))</f>
        <v xml:space="preserve">Referenceperiode slut dato </v>
      </c>
      <c r="B65" s="13">
        <f>Ansøgning!B65</f>
        <v>0</v>
      </c>
    </row>
    <row r="66" spans="1:2" x14ac:dyDescent="0.25">
      <c r="A66" s="40"/>
      <c r="B66" s="13">
        <f>Ansøgning!B66</f>
        <v>0</v>
      </c>
    </row>
    <row r="67" spans="1:2" x14ac:dyDescent="0.25">
      <c r="A67" s="7" t="str">
        <f>"Oplys realiserede faste omkostninger "&amp;"i perioden "&amp;IF(B64="","",TEXT(B64,"dd-mm-åååå")&amp;" til ")&amp;IF(B65="","",TEXT(B65,"dd-mm-åååå"))</f>
        <v>Oplys realiserede faste omkostninger i perioden 00-01-1900 til 00-01-1900</v>
      </c>
      <c r="B67" s="13">
        <f>Ansøgning!B67</f>
        <v>0</v>
      </c>
    </row>
    <row r="68" spans="1:2" x14ac:dyDescent="0.25">
      <c r="A68" s="7"/>
      <c r="B68" s="13">
        <f>Ansøgning!B68</f>
        <v>0</v>
      </c>
    </row>
    <row r="69" spans="1:2" x14ac:dyDescent="0.25">
      <c r="A69" s="67" t="s">
        <v>90</v>
      </c>
      <c r="B69" s="13">
        <f>Ansøgning!B69</f>
        <v>0</v>
      </c>
    </row>
    <row r="70" spans="1:2" x14ac:dyDescent="0.25">
      <c r="A70" s="10" t="s">
        <v>91</v>
      </c>
      <c r="B70" s="13">
        <f>Ansøgning!B70</f>
        <v>0</v>
      </c>
    </row>
    <row r="71" spans="1:2" x14ac:dyDescent="0.25">
      <c r="A71" s="10" t="s">
        <v>92</v>
      </c>
      <c r="B71" s="13">
        <f>Ansøgning!B71</f>
        <v>0</v>
      </c>
    </row>
    <row r="72" spans="1:2" x14ac:dyDescent="0.25">
      <c r="A72" s="10" t="s">
        <v>93</v>
      </c>
      <c r="B72" s="13">
        <f>Ansøgning!B72</f>
        <v>0</v>
      </c>
    </row>
    <row r="73" spans="1:2" x14ac:dyDescent="0.25">
      <c r="A73" s="10" t="s">
        <v>94</v>
      </c>
      <c r="B73" s="13">
        <f>Ansøgning!B73</f>
        <v>0</v>
      </c>
    </row>
    <row r="74" spans="1:2" x14ac:dyDescent="0.25">
      <c r="A74" s="10" t="s">
        <v>95</v>
      </c>
      <c r="B74" s="13">
        <f>Ansøgning!B74</f>
        <v>0</v>
      </c>
    </row>
    <row r="75" spans="1:2" x14ac:dyDescent="0.25">
      <c r="A75" s="10" t="s">
        <v>96</v>
      </c>
      <c r="B75" s="13">
        <f>Ansøgning!B75</f>
        <v>0</v>
      </c>
    </row>
    <row r="76" spans="1:2" x14ac:dyDescent="0.25">
      <c r="A76" s="69" t="s">
        <v>118</v>
      </c>
      <c r="B76" s="13">
        <f>Ansøgning!B76</f>
        <v>0</v>
      </c>
    </row>
    <row r="77" spans="1:2" x14ac:dyDescent="0.25">
      <c r="A77" s="10"/>
      <c r="B77" s="68"/>
    </row>
    <row r="78" spans="1:2" x14ac:dyDescent="0.25">
      <c r="A78" s="39" t="str">
        <f>"Realiserede faste omkostninger i forbudsreferenceperioden "&amp;IF(OR(B64="",B65=""),"",TEXT(B64,"dd-mm-åååå")&amp;" til "&amp;TEXT(B65,"dd-mm-åååå"))</f>
        <v>Realiserede faste omkostninger i forbudsreferenceperioden 00-01-1900 til 00-01-1900</v>
      </c>
      <c r="B78" s="30" t="str">
        <f>IF(SUM(B69:B76)=0,"",SUM(B69:B76))</f>
        <v/>
      </c>
    </row>
    <row r="79" spans="1:2" x14ac:dyDescent="0.25">
      <c r="A79" s="39" t="str">
        <f>"Forventede faste omkostninger i forbudskompensationsperioden "&amp;IF(OR(B51="Vælg/Indtast",B52="Vælg/Indtast"),"",TEXT(B51,"dd-mm-åååå")&amp;" til "&amp;TEXT(B52,"dd-mm-åååå"))</f>
        <v xml:space="preserve">Forventede faste omkostninger i forbudskompensationsperioden </v>
      </c>
      <c r="B79" s="13">
        <f>Ansøgning!B80</f>
        <v>0</v>
      </c>
    </row>
    <row r="80" spans="1:2" x14ac:dyDescent="0.25">
      <c r="A80" s="16" t="s">
        <v>13</v>
      </c>
      <c r="B80" s="21" t="str">
        <f>IF(OR(B78="",B79=""),"",(B79-B78)/B78)</f>
        <v/>
      </c>
    </row>
    <row r="81" spans="1:2" x14ac:dyDescent="0.25">
      <c r="A81" s="16" t="s">
        <v>14</v>
      </c>
      <c r="B81" s="20"/>
    </row>
    <row r="82" spans="1:2" x14ac:dyDescent="0.25">
      <c r="A82" s="16"/>
      <c r="B82" s="16"/>
    </row>
    <row r="83" spans="1:2" x14ac:dyDescent="0.25">
      <c r="A83" s="7" t="s">
        <v>19</v>
      </c>
      <c r="B83" s="21" t="str">
        <f>IFERROR(IF(OR(B54="",B60=""),"",(IF(OR(B14&lt;&gt;"Institution stiftet efter 1. dec. 2019",B61=""),B60,B61)-B54)/IF(OR(B14&lt;&gt;"Institution stiftet efter 1. dec. 2019",B61=""),B60,B61)),"")</f>
        <v/>
      </c>
    </row>
    <row r="84" spans="1:2" x14ac:dyDescent="0.25">
      <c r="A84" s="7" t="s">
        <v>56</v>
      </c>
      <c r="B84" s="22" t="str">
        <f>IF(B83="","",IF(B54&gt;0,IF(AND(B83&gt;=0.8,B83&lt;=1),2,IF(AND(B83&gt;=0.6,B83&lt;0.8),3,IF(AND(B83&gt;=0.35,B83&lt;0.6),4,IF(B83&lt;0.35,"Omsætningsnedgangen opfylder ikke kravet om nedgang på minimum 35 pct.")))),IF(B54=0,1,"")))</f>
        <v/>
      </c>
    </row>
    <row r="85" spans="1:2" x14ac:dyDescent="0.25">
      <c r="A85" s="7" t="s">
        <v>57</v>
      </c>
      <c r="B85" s="21" t="str">
        <f>IF(B84="","",IF(B84=1,1,IF(B84=2,0.8,IF(B84=3,0.5,IF(B84=4,0.25,IF(ISTEXT(B84),0))))))</f>
        <v/>
      </c>
    </row>
    <row r="86" spans="1:2" x14ac:dyDescent="0.25">
      <c r="A86" s="7" t="s">
        <v>58</v>
      </c>
      <c r="B86" s="21" t="str">
        <f>IFERROR(IF(B60="","",B60/B59),"")</f>
        <v/>
      </c>
    </row>
    <row r="87" spans="1:2" x14ac:dyDescent="0.25">
      <c r="A87" s="15"/>
      <c r="B87" s="14"/>
    </row>
    <row r="88" spans="1:2" x14ac:dyDescent="0.25">
      <c r="A88" s="18" t="s">
        <v>71</v>
      </c>
      <c r="B88" s="23">
        <f>IF(B85="",0,B79*B86*B85)</f>
        <v>0</v>
      </c>
    </row>
    <row r="90" spans="1:2" x14ac:dyDescent="0.25">
      <c r="A90" s="19" t="s">
        <v>72</v>
      </c>
      <c r="B90" s="46">
        <f>IFERROR(MAX(IF(B48="","",IF(B39*B20/B19&lt;16666,"De faste omkostningers andel af de kommercielle indtægters andel af de samlede indtægter opfylder ikke kravet om at udgøre minimum 16.666 kr. i kompensationsperioden. Der kan derfor ikke udbetales kompensation.",IF(IF(B84="Omsætningsnedgangen opfylder ikke kravet om nedgang på minimum 35 pct.",B39*B111*B110,B48+B88)&gt;110000000,110000000,IF(IF(B84="Omsætningsnedgangen opfylder ikke kravet om nedgang på minimum 35 pct.",B39*B111*B110,B48+B88)&gt;IF(OR(B14&lt;&gt;"Institution stiftet efter 1. dec. 2019",B21=""),B20,B21)-B12,IF(OR(B14&lt;&gt;"Institution stiftet efter 1. dec. 2019",B21=""),B20,B21)-B12,IF(B84="Omsætningsnedgangen opfylder ikke kravet om nedgang på minimum 35 pct.",B39*B111*B110,B48+B88))))),0),0)</f>
        <v>0</v>
      </c>
    </row>
    <row r="92" spans="1:2" x14ac:dyDescent="0.25">
      <c r="A92" t="s">
        <v>43</v>
      </c>
    </row>
    <row r="94" spans="1:2" x14ac:dyDescent="0.25">
      <c r="A94" s="24" t="s">
        <v>40</v>
      </c>
      <c r="B94" s="13" t="str">
        <f>Ansøgning!B95</f>
        <v>Vælg/Indtast</v>
      </c>
    </row>
    <row r="95" spans="1:2" x14ac:dyDescent="0.25">
      <c r="A95" s="16" t="s">
        <v>41</v>
      </c>
      <c r="B95" s="13" t="str">
        <f>Ansøgning!B96</f>
        <v>Vælg/Indtast</v>
      </c>
    </row>
    <row r="96" spans="1:2" x14ac:dyDescent="0.25">
      <c r="A96" s="17" t="s">
        <v>59</v>
      </c>
      <c r="B96" s="13" t="str">
        <f>Ansøgning!B97</f>
        <v>Vælg/Indtast</v>
      </c>
    </row>
    <row r="97" spans="1:2" x14ac:dyDescent="0.25">
      <c r="A97" s="16" t="s">
        <v>42</v>
      </c>
      <c r="B97" s="13">
        <f>Ansøgning!B98</f>
        <v>0</v>
      </c>
    </row>
    <row r="98" spans="1:2" x14ac:dyDescent="0.25">
      <c r="A98" s="17" t="s">
        <v>84</v>
      </c>
      <c r="B98" s="13" t="str">
        <f>Ansøgning!B99</f>
        <v>Vælg/Indtast</v>
      </c>
    </row>
    <row r="100" spans="1:2" x14ac:dyDescent="0.25">
      <c r="A100" s="16" t="s">
        <v>21</v>
      </c>
      <c r="B100" s="30" t="str">
        <f>IF(OR(AND(B94="Ja",B95="Nej",B96="Nej",B97=""),AND(ISNUMBER(B97),B98="Vælg/Indtast")),"Det seneste resultat skal oplyses i celle B73 og perioden i celle B74.",IF(ISNUMBER(B97),IF(B98="Årsregnskab med balancedag den 28. februar 2019 eller senere",(1/3),IF(B98="Halvårsregnskab med balancedag den 31. august 2019 eller senere",(2/3),IF(B98="Kvartalsregnskab med balancedag den 30. november 2019 eller senere",(4/3),IF(B98="Årets resultat for kalenderåret 2019",(1/3)))))*ABS(B97)*B110*B111,""))</f>
        <v>Det seneste resultat skal oplyses i celle B73 og perioden i celle B74.</v>
      </c>
    </row>
    <row r="101" spans="1:2" x14ac:dyDescent="0.25">
      <c r="A101" s="16" t="s">
        <v>61</v>
      </c>
      <c r="B101" s="21" t="str">
        <f>IF(ISNUMBER(B100),B100/B90,"")</f>
        <v/>
      </c>
    </row>
    <row r="102" spans="1:2" x14ac:dyDescent="0.25">
      <c r="A102" s="16" t="s">
        <v>119</v>
      </c>
      <c r="B102" s="13">
        <f>Ansøgning!B103</f>
        <v>0</v>
      </c>
    </row>
    <row r="103" spans="1:2" x14ac:dyDescent="0.25">
      <c r="A103" s="16" t="s">
        <v>111</v>
      </c>
      <c r="B103" s="13">
        <f>Ansøgning!B104</f>
        <v>0</v>
      </c>
    </row>
    <row r="104" spans="1:2" x14ac:dyDescent="0.25">
      <c r="A104" s="24"/>
      <c r="B104" s="36"/>
    </row>
    <row r="105" spans="1:2" ht="45" x14ac:dyDescent="0.25">
      <c r="A105" s="35" t="s">
        <v>128</v>
      </c>
      <c r="B105" s="36"/>
    </row>
    <row r="106" spans="1:2" hidden="1" x14ac:dyDescent="0.25">
      <c r="A106" s="16" t="s">
        <v>129</v>
      </c>
      <c r="B106" s="109" t="s">
        <v>7</v>
      </c>
    </row>
    <row r="107" spans="1:2" hidden="1" x14ac:dyDescent="0.25">
      <c r="A107" s="24"/>
      <c r="B107" s="36"/>
    </row>
    <row r="108" spans="1:2" hidden="1" x14ac:dyDescent="0.25">
      <c r="A108" s="27" t="s">
        <v>44</v>
      </c>
      <c r="B108" s="28" t="e">
        <f>IF(OR(B12="",B20=""),"",(IF(OR(B14&lt;&gt;"Institution stiftet efter 1. dec. 2019",B21=""),B20,B21)-B12)/IF(OR(B14&lt;&gt;"Institution stiftet efter 1. dec. 2019",B21=""),B20,B21))</f>
        <v>#VALUE!</v>
      </c>
    </row>
    <row r="109" spans="1:2" hidden="1" x14ac:dyDescent="0.25">
      <c r="A109" s="27" t="s">
        <v>45</v>
      </c>
      <c r="B109" s="29" t="e">
        <f>IF(B108="","",IF(OR($B$9="Ikke forbud",AND($B$9="Hele kompensationsperioden",$B$12&gt;0),$B$9="Dele af kompensationsperioden"),IF(AND(B108&gt;=0.8,B108&lt;=1),2,IF(AND(B108&gt;=0.6,B108&lt;8),3,IF(AND(B108&gt;=0.35,B108&lt;0.6),4,IF(B108&lt;0.35,"Omsætningsnedgangen opfylder ikke kravet om nedgang på minimum 35 pct.")))),IF(AND($B$9="Hele kompensationsperioden",$B$12=0),1)))</f>
        <v>#VALUE!</v>
      </c>
    </row>
    <row r="110" spans="1:2" hidden="1" x14ac:dyDescent="0.25">
      <c r="A110" s="27" t="s">
        <v>46</v>
      </c>
      <c r="B110" s="28" t="e">
        <f>IF(B109="","",IF(B109=1,1,IF(B109=2,0.8,IF(B109=3,0.5,IF(B109=4,0.25,IF(ISTEXT(B109),0))))))</f>
        <v>#VALUE!</v>
      </c>
    </row>
    <row r="111" spans="1:2" hidden="1" x14ac:dyDescent="0.25">
      <c r="A111" s="27" t="s">
        <v>47</v>
      </c>
      <c r="B111" s="28" t="e">
        <f>IF(B110="","",B20/B19)</f>
        <v>#VALUE!</v>
      </c>
    </row>
    <row r="112" spans="1:2" x14ac:dyDescent="0.25">
      <c r="A112" s="4"/>
      <c r="B112" s="12"/>
    </row>
    <row r="113" spans="1:2" x14ac:dyDescent="0.25">
      <c r="A113" t="s">
        <v>48</v>
      </c>
    </row>
    <row r="114" spans="1:2" x14ac:dyDescent="0.25">
      <c r="A114" t="s">
        <v>120</v>
      </c>
    </row>
    <row r="116" spans="1:2" x14ac:dyDescent="0.25">
      <c r="A116" s="31" t="s">
        <v>121</v>
      </c>
      <c r="B116" s="13">
        <f>Ansøgning!B117</f>
        <v>0</v>
      </c>
    </row>
    <row r="117" spans="1:2" x14ac:dyDescent="0.25">
      <c r="A117" s="32" t="s">
        <v>49</v>
      </c>
      <c r="B117" s="33">
        <f>IF(OR(ISTEXT(B90),B116=""),0,IF(ISNUMBER(B116)*0.8&gt;16000,16000,ISNUMBER(B116)*0.8))</f>
        <v>0.8</v>
      </c>
    </row>
    <row r="119" spans="1:2" x14ac:dyDescent="0.25">
      <c r="A119" s="18" t="s">
        <v>60</v>
      </c>
      <c r="B119" s="34">
        <f>MAX(IF(ISNUMBER(B90),IF(B90-ISNUMBER(B100)&gt;0,IF(B100="",B90+B117,IF(B101&lt;0.5,B90+B117-B100,IF(B106="Nej",B90+B117-B100,IF(AND(B101&gt;0.5,B106="Ja"),B90*0.5+B117)))),0),0),0)</f>
        <v>0</v>
      </c>
    </row>
    <row r="121" spans="1:2" x14ac:dyDescent="0.25">
      <c r="A121" t="s">
        <v>125</v>
      </c>
      <c r="B121">
        <f>Ansøgning!B120</f>
        <v>0</v>
      </c>
    </row>
    <row r="122" spans="1:2" x14ac:dyDescent="0.25">
      <c r="A122" t="s">
        <v>122</v>
      </c>
      <c r="B122" s="100">
        <f>B119-B121</f>
        <v>0</v>
      </c>
    </row>
  </sheetData>
  <sheetProtection formatColumns="0"/>
  <conditionalFormatting sqref="A17">
    <cfRule type="expression" dxfId="38" priority="29">
      <formula>B14="Nystartet institution"</formula>
    </cfRule>
  </conditionalFormatting>
  <conditionalFormatting sqref="A40">
    <cfRule type="expression" dxfId="37" priority="33">
      <formula>B16="Nystartet institution"</formula>
    </cfRule>
  </conditionalFormatting>
  <conditionalFormatting sqref="B48:B49">
    <cfRule type="expression" dxfId="36" priority="34">
      <formula>B17="Nystartet institution"</formula>
    </cfRule>
  </conditionalFormatting>
  <conditionalFormatting sqref="A48:A49">
    <cfRule type="expression" dxfId="35" priority="35">
      <formula>B17="Nystartet institution"</formula>
    </cfRule>
  </conditionalFormatting>
  <conditionalFormatting sqref="B46:B47">
    <cfRule type="expression" dxfId="34" priority="36">
      <formula>B18="Nystartet institution"</formula>
    </cfRule>
  </conditionalFormatting>
  <conditionalFormatting sqref="A46:A47">
    <cfRule type="expression" dxfId="33" priority="37">
      <formula>B18="Nystartet institution"</formula>
    </cfRule>
  </conditionalFormatting>
  <conditionalFormatting sqref="B44:B45">
    <cfRule type="expression" dxfId="32" priority="38">
      <formula>B18="Nystartet institution"</formula>
    </cfRule>
  </conditionalFormatting>
  <conditionalFormatting sqref="A44:A45">
    <cfRule type="expression" dxfId="31" priority="39">
      <formula>B18="Nystartet institution"</formula>
    </cfRule>
  </conditionalFormatting>
  <conditionalFormatting sqref="B83">
    <cfRule type="expression" dxfId="30" priority="21">
      <formula>B54="Nystartet institution"</formula>
    </cfRule>
  </conditionalFormatting>
  <conditionalFormatting sqref="A83">
    <cfRule type="expression" dxfId="29" priority="22">
      <formula>B54="Nystartet institution"</formula>
    </cfRule>
  </conditionalFormatting>
  <conditionalFormatting sqref="B88">
    <cfRule type="expression" dxfId="28" priority="23">
      <formula>#REF!="Nystartet institution"</formula>
    </cfRule>
  </conditionalFormatting>
  <conditionalFormatting sqref="A88">
    <cfRule type="expression" dxfId="27" priority="24">
      <formula>#REF!="Nystartet institution"</formula>
    </cfRule>
  </conditionalFormatting>
  <conditionalFormatting sqref="B86:B87">
    <cfRule type="expression" dxfId="26" priority="25">
      <formula>B54="Nystartet institution"</formula>
    </cfRule>
  </conditionalFormatting>
  <conditionalFormatting sqref="A86:A87">
    <cfRule type="expression" dxfId="25" priority="26">
      <formula>B54="Nystartet institution"</formula>
    </cfRule>
  </conditionalFormatting>
  <conditionalFormatting sqref="B84:B85">
    <cfRule type="expression" dxfId="24" priority="27">
      <formula>B54="Nystartet institution"</formula>
    </cfRule>
  </conditionalFormatting>
  <conditionalFormatting sqref="A84:A85">
    <cfRule type="expression" dxfId="23" priority="28">
      <formula>B54="Nystartet institution"</formula>
    </cfRule>
  </conditionalFormatting>
  <conditionalFormatting sqref="A17:A18">
    <cfRule type="expression" dxfId="22" priority="19">
      <formula>$B$14="Institution stiftet efter 1. dec. 2019"</formula>
    </cfRule>
  </conditionalFormatting>
  <conditionalFormatting sqref="A41:B41">
    <cfRule type="expression" dxfId="21" priority="18">
      <formula>ABS($B$40)&gt;0.1</formula>
    </cfRule>
  </conditionalFormatting>
  <conditionalFormatting sqref="A38:A39">
    <cfRule type="expression" dxfId="20" priority="40">
      <formula>B18="Nystartet institution"</formula>
    </cfRule>
  </conditionalFormatting>
  <conditionalFormatting sqref="A24:A25 A37:B37">
    <cfRule type="expression" dxfId="19" priority="17">
      <formula>$B$23="Institution stiftet efter 1. dec. 2019"</formula>
    </cfRule>
  </conditionalFormatting>
  <conditionalFormatting sqref="A81:B81">
    <cfRule type="expression" dxfId="18" priority="20">
      <formula>ABS($B$80)&gt;0.1</formula>
    </cfRule>
  </conditionalFormatting>
  <conditionalFormatting sqref="A15:A16">
    <cfRule type="expression" dxfId="17" priority="15">
      <formula>$B$14="Anden referenceperiode (kun ved særlige omstændigheder)"</formula>
    </cfRule>
  </conditionalFormatting>
  <conditionalFormatting sqref="A95">
    <cfRule type="expression" dxfId="16" priority="14">
      <formula>$B$94="Ja"</formula>
    </cfRule>
    <cfRule type="expression" dxfId="15" priority="16">
      <formula>$B$94="Ja"</formula>
    </cfRule>
  </conditionalFormatting>
  <conditionalFormatting sqref="A96">
    <cfRule type="expression" dxfId="14" priority="13">
      <formula>$B$95="Nej"</formula>
    </cfRule>
  </conditionalFormatting>
  <conditionalFormatting sqref="A97:A98">
    <cfRule type="expression" dxfId="13" priority="12">
      <formula>$B$96="Nej"</formula>
    </cfRule>
  </conditionalFormatting>
  <conditionalFormatting sqref="A108">
    <cfRule type="expression" dxfId="12" priority="9">
      <formula>B85="Nystartet institution"</formula>
    </cfRule>
  </conditionalFormatting>
  <conditionalFormatting sqref="A111">
    <cfRule type="expression" dxfId="11" priority="10">
      <formula>B85="Nystartet institution"</formula>
    </cfRule>
  </conditionalFormatting>
  <conditionalFormatting sqref="A109:A110">
    <cfRule type="expression" dxfId="10" priority="11">
      <formula>B85="Nystartet institution"</formula>
    </cfRule>
  </conditionalFormatting>
  <conditionalFormatting sqref="A100:B100">
    <cfRule type="expression" dxfId="9" priority="8">
      <formula>AND($B$94="Ja",$B$95="Nej",$B$96="Nej",$B$97="")</formula>
    </cfRule>
  </conditionalFormatting>
  <conditionalFormatting sqref="B101">
    <cfRule type="expression" dxfId="8" priority="7">
      <formula>AND(ISNUMBER($B$101),$B$101&gt;0.5)</formula>
    </cfRule>
  </conditionalFormatting>
  <conditionalFormatting sqref="A106:B106">
    <cfRule type="expression" dxfId="7" priority="6">
      <formula>AND(ISNUMBER($B$101),$B$101&gt;0.5)</formula>
    </cfRule>
  </conditionalFormatting>
  <conditionalFormatting sqref="A26:B28">
    <cfRule type="expression" dxfId="6" priority="4">
      <formula>$B$23="Institution stiftet efter 1. dec. 2019"</formula>
    </cfRule>
  </conditionalFormatting>
  <conditionalFormatting sqref="A26:A28">
    <cfRule type="expression" dxfId="5" priority="5">
      <formula>B16="Nystartet institution"</formula>
    </cfRule>
  </conditionalFormatting>
  <conditionalFormatting sqref="A37">
    <cfRule type="expression" dxfId="4" priority="41">
      <formula>B21="Nystartet institution"</formula>
    </cfRule>
  </conditionalFormatting>
  <conditionalFormatting sqref="A26:B28 A37:B37 A29:A36">
    <cfRule type="cellIs" dxfId="3" priority="3" operator="equal">
      <formula>$B$23&lt;&gt;"Vælg/Indtast"</formula>
    </cfRule>
  </conditionalFormatting>
  <conditionalFormatting sqref="A102:A103">
    <cfRule type="expression" dxfId="2" priority="2">
      <formula>AND(ISNUMBER($B$101),$B$101&gt;0.5)</formula>
    </cfRule>
  </conditionalFormatting>
  <conditionalFormatting sqref="A50:B50 A62:B63 A79 A82:B82 A51:A60 A77:B77 A64:A76">
    <cfRule type="expression" dxfId="1" priority="1">
      <formula>$B$9="Dele af kompensationsperioden"</formula>
    </cfRule>
  </conditionalFormatting>
  <dataValidations count="2">
    <dataValidation type="list" showInputMessage="1" showErrorMessage="1" sqref="B106">
      <formula1>FastholdeUdbetaling</formula1>
    </dataValidation>
    <dataValidation type="list" showInputMessage="1" showErrorMessage="1" errorTitle="Ugyldig dato" error="Der skal vælges en dato mellem 1. december 2019 og 9. marts 2020." sqref="B26:B27">
      <formula1>NystartedeVirksomheder</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51"/>
  <sheetViews>
    <sheetView topLeftCell="A178" workbookViewId="0"/>
  </sheetViews>
  <sheetFormatPr defaultRowHeight="15" x14ac:dyDescent="0.25"/>
  <cols>
    <col min="1" max="1" width="20.28515625" style="118" bestFit="1" customWidth="1"/>
    <col min="3" max="3" width="14.28515625" style="118" bestFit="1" customWidth="1"/>
    <col min="5" max="5" width="22.140625" style="118" bestFit="1" customWidth="1"/>
    <col min="7" max="7" width="21.42578125" bestFit="1" customWidth="1"/>
    <col min="9" max="9" width="51.28515625" bestFit="1" customWidth="1"/>
    <col min="11" max="11" width="27.7109375" bestFit="1" customWidth="1"/>
    <col min="13" max="13" width="35.5703125" bestFit="1" customWidth="1"/>
  </cols>
  <sheetData>
    <row r="1" spans="1:13" x14ac:dyDescent="0.25">
      <c r="A1" s="119" t="s">
        <v>1</v>
      </c>
      <c r="B1" s="4"/>
      <c r="C1" s="119" t="s">
        <v>4</v>
      </c>
      <c r="D1" s="4"/>
      <c r="E1" s="119" t="s">
        <v>5</v>
      </c>
      <c r="F1" s="4"/>
      <c r="G1" s="4" t="s">
        <v>12</v>
      </c>
      <c r="H1" s="4"/>
      <c r="I1" s="4" t="s">
        <v>52</v>
      </c>
      <c r="J1" s="4"/>
      <c r="K1" s="4" t="s">
        <v>6</v>
      </c>
      <c r="M1" s="4" t="s">
        <v>23</v>
      </c>
    </row>
    <row r="2" spans="1:13" x14ac:dyDescent="0.25">
      <c r="A2" s="120" t="s">
        <v>7</v>
      </c>
      <c r="C2" s="120" t="s">
        <v>7</v>
      </c>
      <c r="E2" s="120" t="s">
        <v>7</v>
      </c>
      <c r="G2" s="120" t="s">
        <v>7</v>
      </c>
      <c r="I2" t="s">
        <v>7</v>
      </c>
      <c r="K2" t="s">
        <v>7</v>
      </c>
      <c r="M2" t="s">
        <v>7</v>
      </c>
    </row>
    <row r="3" spans="1:13" x14ac:dyDescent="0.25">
      <c r="A3" s="121">
        <v>44174</v>
      </c>
      <c r="C3" s="121">
        <v>44174</v>
      </c>
      <c r="E3" s="121">
        <v>43801</v>
      </c>
      <c r="G3" s="5">
        <v>43617</v>
      </c>
      <c r="I3" s="118" t="s">
        <v>134</v>
      </c>
      <c r="K3" t="s">
        <v>8</v>
      </c>
      <c r="M3" s="118" t="s">
        <v>134</v>
      </c>
    </row>
    <row r="4" spans="1:13" x14ac:dyDescent="0.25">
      <c r="A4" s="121">
        <v>44175</v>
      </c>
      <c r="C4" s="121">
        <v>44175</v>
      </c>
      <c r="E4" s="121">
        <v>43802</v>
      </c>
      <c r="G4" s="5">
        <v>43618</v>
      </c>
      <c r="I4" t="s">
        <v>34</v>
      </c>
      <c r="K4" t="s">
        <v>9</v>
      </c>
      <c r="M4" t="s">
        <v>24</v>
      </c>
    </row>
    <row r="5" spans="1:13" x14ac:dyDescent="0.25">
      <c r="A5" s="121">
        <v>44176</v>
      </c>
      <c r="C5" s="121">
        <v>44176</v>
      </c>
      <c r="E5" s="121">
        <v>43803</v>
      </c>
      <c r="G5" s="5">
        <v>43619</v>
      </c>
      <c r="I5" t="s">
        <v>24</v>
      </c>
      <c r="K5" t="s">
        <v>10</v>
      </c>
    </row>
    <row r="6" spans="1:13" x14ac:dyDescent="0.25">
      <c r="A6" s="121">
        <v>44177</v>
      </c>
      <c r="C6" s="121">
        <v>44177</v>
      </c>
      <c r="E6" s="121">
        <v>43804</v>
      </c>
      <c r="G6" s="5">
        <v>43620</v>
      </c>
    </row>
    <row r="7" spans="1:13" x14ac:dyDescent="0.25">
      <c r="A7" s="121">
        <v>44178</v>
      </c>
      <c r="C7" s="121">
        <v>44178</v>
      </c>
      <c r="E7" s="121">
        <v>43805</v>
      </c>
      <c r="G7" s="5">
        <v>43621</v>
      </c>
    </row>
    <row r="8" spans="1:13" x14ac:dyDescent="0.25">
      <c r="A8" s="121">
        <v>44179</v>
      </c>
      <c r="C8" s="121">
        <v>44179</v>
      </c>
      <c r="E8" s="121">
        <v>43806</v>
      </c>
      <c r="G8" s="5">
        <v>43622</v>
      </c>
    </row>
    <row r="9" spans="1:13" x14ac:dyDescent="0.25">
      <c r="A9" s="121">
        <v>44180</v>
      </c>
      <c r="C9" s="121">
        <v>44180</v>
      </c>
      <c r="E9" s="121">
        <v>43807</v>
      </c>
      <c r="G9" s="5">
        <v>43623</v>
      </c>
      <c r="I9" s="4" t="s">
        <v>20</v>
      </c>
    </row>
    <row r="10" spans="1:13" x14ac:dyDescent="0.25">
      <c r="A10" s="121">
        <v>44181</v>
      </c>
      <c r="C10" s="121">
        <v>44181</v>
      </c>
      <c r="E10" s="121">
        <v>43808</v>
      </c>
      <c r="G10" s="5">
        <v>43624</v>
      </c>
      <c r="I10" t="s">
        <v>7</v>
      </c>
    </row>
    <row r="11" spans="1:13" x14ac:dyDescent="0.25">
      <c r="A11" s="121">
        <v>44182</v>
      </c>
      <c r="C11" s="121">
        <v>44182</v>
      </c>
      <c r="E11" s="121">
        <v>43809</v>
      </c>
      <c r="G11" s="5">
        <v>43625</v>
      </c>
      <c r="I11" t="s">
        <v>31</v>
      </c>
    </row>
    <row r="12" spans="1:13" x14ac:dyDescent="0.25">
      <c r="A12" s="121">
        <v>44183</v>
      </c>
      <c r="C12" s="121">
        <v>44183</v>
      </c>
      <c r="E12" s="121">
        <v>43810</v>
      </c>
      <c r="G12" s="5">
        <v>43626</v>
      </c>
      <c r="I12" t="s">
        <v>32</v>
      </c>
    </row>
    <row r="13" spans="1:13" x14ac:dyDescent="0.25">
      <c r="A13" s="121">
        <v>44184</v>
      </c>
      <c r="C13" s="121">
        <v>44184</v>
      </c>
      <c r="E13" s="121">
        <v>43811</v>
      </c>
      <c r="G13" s="5">
        <v>43627</v>
      </c>
    </row>
    <row r="14" spans="1:13" x14ac:dyDescent="0.25">
      <c r="A14" s="121">
        <v>44185</v>
      </c>
      <c r="C14" s="121">
        <v>44185</v>
      </c>
      <c r="E14" s="121">
        <v>43812</v>
      </c>
      <c r="G14" s="5">
        <v>43628</v>
      </c>
      <c r="I14" s="4" t="s">
        <v>62</v>
      </c>
    </row>
    <row r="15" spans="1:13" x14ac:dyDescent="0.25">
      <c r="A15" s="121">
        <v>44186</v>
      </c>
      <c r="C15" s="121">
        <v>44186</v>
      </c>
      <c r="E15" s="121">
        <v>43813</v>
      </c>
      <c r="G15" s="5">
        <v>43629</v>
      </c>
      <c r="I15" t="s">
        <v>7</v>
      </c>
    </row>
    <row r="16" spans="1:13" x14ac:dyDescent="0.25">
      <c r="A16" s="121">
        <v>44187</v>
      </c>
      <c r="C16" s="121">
        <v>44187</v>
      </c>
      <c r="E16" s="121">
        <v>43814</v>
      </c>
      <c r="G16" s="5">
        <v>43630</v>
      </c>
      <c r="I16" t="s">
        <v>31</v>
      </c>
    </row>
    <row r="17" spans="1:11" x14ac:dyDescent="0.25">
      <c r="A17" s="121">
        <v>44188</v>
      </c>
      <c r="C17" s="121">
        <v>44188</v>
      </c>
      <c r="E17" s="121">
        <v>43815</v>
      </c>
      <c r="G17" s="5">
        <v>43631</v>
      </c>
      <c r="I17" t="s">
        <v>32</v>
      </c>
      <c r="K17" s="5"/>
    </row>
    <row r="18" spans="1:11" x14ac:dyDescent="0.25">
      <c r="A18" s="121">
        <v>44189</v>
      </c>
      <c r="C18" s="121">
        <v>44189</v>
      </c>
      <c r="E18" s="121">
        <v>43816</v>
      </c>
      <c r="G18" s="5">
        <v>43632</v>
      </c>
      <c r="K18" s="5"/>
    </row>
    <row r="19" spans="1:11" x14ac:dyDescent="0.25">
      <c r="A19" s="121">
        <v>44190</v>
      </c>
      <c r="C19" s="121">
        <v>44190</v>
      </c>
      <c r="E19" s="121">
        <v>43817</v>
      </c>
      <c r="G19" s="5">
        <v>43633</v>
      </c>
      <c r="I19" s="4" t="s">
        <v>85</v>
      </c>
      <c r="K19" s="5"/>
    </row>
    <row r="20" spans="1:11" x14ac:dyDescent="0.25">
      <c r="A20" s="121">
        <v>44191</v>
      </c>
      <c r="C20" s="121">
        <v>44191</v>
      </c>
      <c r="E20" s="121">
        <v>43818</v>
      </c>
      <c r="G20" s="5">
        <v>43634</v>
      </c>
      <c r="I20" t="s">
        <v>7</v>
      </c>
      <c r="K20" s="5"/>
    </row>
    <row r="21" spans="1:11" x14ac:dyDescent="0.25">
      <c r="A21" s="121">
        <v>44192</v>
      </c>
      <c r="C21" s="121">
        <v>44192</v>
      </c>
      <c r="E21" s="121">
        <v>43819</v>
      </c>
      <c r="G21" s="5">
        <v>43635</v>
      </c>
      <c r="I21" t="s">
        <v>86</v>
      </c>
      <c r="K21" s="5"/>
    </row>
    <row r="22" spans="1:11" x14ac:dyDescent="0.25">
      <c r="A22" s="121">
        <v>44193</v>
      </c>
      <c r="C22" s="121">
        <v>44193</v>
      </c>
      <c r="E22" s="121">
        <v>43820</v>
      </c>
      <c r="G22" s="5">
        <v>43636</v>
      </c>
      <c r="I22" t="s">
        <v>88</v>
      </c>
      <c r="K22" s="5"/>
    </row>
    <row r="23" spans="1:11" x14ac:dyDescent="0.25">
      <c r="A23" s="121">
        <v>44194</v>
      </c>
      <c r="C23" s="121">
        <v>44194</v>
      </c>
      <c r="E23" s="121">
        <v>43821</v>
      </c>
      <c r="G23" s="5">
        <v>43637</v>
      </c>
      <c r="I23" t="s">
        <v>89</v>
      </c>
      <c r="K23" s="5"/>
    </row>
    <row r="24" spans="1:11" x14ac:dyDescent="0.25">
      <c r="A24" s="121">
        <v>44195</v>
      </c>
      <c r="C24" s="121">
        <v>44195</v>
      </c>
      <c r="E24" s="121">
        <v>43822</v>
      </c>
      <c r="G24" s="5">
        <v>43638</v>
      </c>
      <c r="I24" t="s">
        <v>87</v>
      </c>
      <c r="K24" s="5"/>
    </row>
    <row r="25" spans="1:11" x14ac:dyDescent="0.25">
      <c r="A25" s="121">
        <v>44196</v>
      </c>
      <c r="C25" s="121">
        <v>44196</v>
      </c>
      <c r="E25" s="121">
        <v>43823</v>
      </c>
      <c r="G25" s="5">
        <v>43639</v>
      </c>
      <c r="K25" s="5"/>
    </row>
    <row r="26" spans="1:11" x14ac:dyDescent="0.25">
      <c r="A26" s="121">
        <v>44197</v>
      </c>
      <c r="C26" s="121">
        <v>44197</v>
      </c>
      <c r="E26" s="121">
        <v>43824</v>
      </c>
      <c r="G26" s="5">
        <v>43640</v>
      </c>
      <c r="K26" s="5"/>
    </row>
    <row r="27" spans="1:11" x14ac:dyDescent="0.25">
      <c r="A27" s="121">
        <v>44198</v>
      </c>
      <c r="C27" s="121">
        <v>44198</v>
      </c>
      <c r="E27" s="121">
        <v>43825</v>
      </c>
      <c r="G27" s="5">
        <v>43641</v>
      </c>
      <c r="K27" s="5"/>
    </row>
    <row r="28" spans="1:11" x14ac:dyDescent="0.25">
      <c r="A28" s="121">
        <v>44199</v>
      </c>
      <c r="C28" s="121">
        <v>44199</v>
      </c>
      <c r="E28" s="121">
        <v>43826</v>
      </c>
      <c r="G28" s="5">
        <v>43642</v>
      </c>
      <c r="K28" s="5"/>
    </row>
    <row r="29" spans="1:11" x14ac:dyDescent="0.25">
      <c r="A29" s="121">
        <v>44200</v>
      </c>
      <c r="C29" s="121">
        <v>44200</v>
      </c>
      <c r="E29" s="121">
        <v>43827</v>
      </c>
      <c r="G29" s="5">
        <v>43643</v>
      </c>
      <c r="K29" s="5"/>
    </row>
    <row r="30" spans="1:11" x14ac:dyDescent="0.25">
      <c r="A30" s="121">
        <v>44201</v>
      </c>
      <c r="C30" s="121">
        <v>44201</v>
      </c>
      <c r="E30" s="121">
        <v>43828</v>
      </c>
      <c r="G30" s="5">
        <v>43644</v>
      </c>
      <c r="K30" s="5"/>
    </row>
    <row r="31" spans="1:11" x14ac:dyDescent="0.25">
      <c r="A31" s="121">
        <v>44202</v>
      </c>
      <c r="C31" s="121">
        <v>44202</v>
      </c>
      <c r="E31" s="121">
        <v>43829</v>
      </c>
      <c r="G31" s="5">
        <v>43645</v>
      </c>
      <c r="K31" s="5"/>
    </row>
    <row r="32" spans="1:11" x14ac:dyDescent="0.25">
      <c r="A32" s="121">
        <v>44203</v>
      </c>
      <c r="C32" s="121">
        <v>44203</v>
      </c>
      <c r="E32" s="121">
        <v>43830</v>
      </c>
      <c r="G32" s="5">
        <v>43646</v>
      </c>
      <c r="K32" s="5"/>
    </row>
    <row r="33" spans="1:11" x14ac:dyDescent="0.25">
      <c r="A33" s="121">
        <v>44204</v>
      </c>
      <c r="C33" s="121">
        <v>44204</v>
      </c>
      <c r="E33" s="121">
        <v>43831</v>
      </c>
      <c r="G33" s="5">
        <v>43647</v>
      </c>
      <c r="K33" s="5"/>
    </row>
    <row r="34" spans="1:11" x14ac:dyDescent="0.25">
      <c r="A34" s="121">
        <v>44205</v>
      </c>
      <c r="C34" s="121">
        <v>44205</v>
      </c>
      <c r="E34" s="121">
        <v>43832</v>
      </c>
      <c r="G34" s="5">
        <v>43648</v>
      </c>
      <c r="K34" s="5"/>
    </row>
    <row r="35" spans="1:11" x14ac:dyDescent="0.25">
      <c r="A35" s="121">
        <v>44206</v>
      </c>
      <c r="C35" s="121">
        <v>44206</v>
      </c>
      <c r="E35" s="121">
        <v>43833</v>
      </c>
      <c r="G35" s="5">
        <v>43649</v>
      </c>
      <c r="K35" s="5"/>
    </row>
    <row r="36" spans="1:11" x14ac:dyDescent="0.25">
      <c r="A36" s="121">
        <v>44207</v>
      </c>
      <c r="C36" s="121">
        <v>44207</v>
      </c>
      <c r="E36" s="121">
        <v>43834</v>
      </c>
      <c r="G36" s="5">
        <v>43650</v>
      </c>
      <c r="K36" s="5"/>
    </row>
    <row r="37" spans="1:11" x14ac:dyDescent="0.25">
      <c r="A37" s="121">
        <v>44208</v>
      </c>
      <c r="C37" s="121">
        <v>44208</v>
      </c>
      <c r="E37" s="121">
        <v>43835</v>
      </c>
      <c r="G37" s="5">
        <v>43651</v>
      </c>
      <c r="K37" s="5"/>
    </row>
    <row r="38" spans="1:11" x14ac:dyDescent="0.25">
      <c r="A38" s="121">
        <v>44209</v>
      </c>
      <c r="C38" s="121">
        <v>44209</v>
      </c>
      <c r="E38" s="121">
        <v>43836</v>
      </c>
      <c r="G38" s="5">
        <v>43652</v>
      </c>
      <c r="K38" s="5"/>
    </row>
    <row r="39" spans="1:11" x14ac:dyDescent="0.25">
      <c r="A39" s="121">
        <v>44210</v>
      </c>
      <c r="C39" s="121">
        <v>44210</v>
      </c>
      <c r="E39" s="121">
        <v>43837</v>
      </c>
      <c r="G39" s="5">
        <v>43653</v>
      </c>
      <c r="K39" s="5"/>
    </row>
    <row r="40" spans="1:11" x14ac:dyDescent="0.25">
      <c r="A40" s="121">
        <v>44211</v>
      </c>
      <c r="C40" s="121">
        <v>44211</v>
      </c>
      <c r="E40" s="121">
        <v>43838</v>
      </c>
      <c r="G40" s="5">
        <v>43654</v>
      </c>
      <c r="K40" s="5"/>
    </row>
    <row r="41" spans="1:11" x14ac:dyDescent="0.25">
      <c r="A41" s="121">
        <v>44212</v>
      </c>
      <c r="C41" s="121">
        <v>44212</v>
      </c>
      <c r="E41" s="121">
        <v>43839</v>
      </c>
      <c r="G41" s="5">
        <v>43655</v>
      </c>
      <c r="K41" s="5"/>
    </row>
    <row r="42" spans="1:11" x14ac:dyDescent="0.25">
      <c r="A42" s="121">
        <v>44213</v>
      </c>
      <c r="C42" s="121">
        <v>44213</v>
      </c>
      <c r="E42" s="121">
        <v>43840</v>
      </c>
      <c r="G42" s="5">
        <v>43656</v>
      </c>
      <c r="K42" s="5"/>
    </row>
    <row r="43" spans="1:11" x14ac:dyDescent="0.25">
      <c r="A43" s="121">
        <v>44214</v>
      </c>
      <c r="C43" s="121">
        <v>44214</v>
      </c>
      <c r="E43" s="121">
        <v>43841</v>
      </c>
      <c r="G43" s="5">
        <v>43657</v>
      </c>
      <c r="K43" s="5"/>
    </row>
    <row r="44" spans="1:11" x14ac:dyDescent="0.25">
      <c r="A44" s="121">
        <v>44215</v>
      </c>
      <c r="C44" s="121">
        <v>44215</v>
      </c>
      <c r="E44" s="121">
        <v>43842</v>
      </c>
      <c r="G44" s="5">
        <v>43658</v>
      </c>
      <c r="K44" s="5"/>
    </row>
    <row r="45" spans="1:11" x14ac:dyDescent="0.25">
      <c r="A45" s="121">
        <v>44216</v>
      </c>
      <c r="C45" s="121">
        <v>44216</v>
      </c>
      <c r="E45" s="121">
        <v>43843</v>
      </c>
      <c r="G45" s="5">
        <v>43659</v>
      </c>
      <c r="K45" s="5"/>
    </row>
    <row r="46" spans="1:11" x14ac:dyDescent="0.25">
      <c r="A46" s="121">
        <v>44217</v>
      </c>
      <c r="C46" s="121">
        <v>44217</v>
      </c>
      <c r="E46" s="121">
        <v>43844</v>
      </c>
      <c r="G46" s="5">
        <v>43660</v>
      </c>
      <c r="K46" s="5"/>
    </row>
    <row r="47" spans="1:11" x14ac:dyDescent="0.25">
      <c r="A47" s="121">
        <v>44218</v>
      </c>
      <c r="C47" s="121">
        <v>44218</v>
      </c>
      <c r="E47" s="121">
        <v>43845</v>
      </c>
      <c r="G47" s="5">
        <v>43661</v>
      </c>
      <c r="K47" s="5"/>
    </row>
    <row r="48" spans="1:11" x14ac:dyDescent="0.25">
      <c r="A48" s="121">
        <v>44219</v>
      </c>
      <c r="C48" s="121">
        <v>44219</v>
      </c>
      <c r="E48" s="121">
        <v>43846</v>
      </c>
      <c r="G48" s="5">
        <v>43662</v>
      </c>
      <c r="K48" s="5"/>
    </row>
    <row r="49" spans="1:11" x14ac:dyDescent="0.25">
      <c r="A49" s="121">
        <v>44220</v>
      </c>
      <c r="C49" s="121">
        <v>44220</v>
      </c>
      <c r="E49" s="121">
        <v>43847</v>
      </c>
      <c r="G49" s="5">
        <v>43663</v>
      </c>
      <c r="K49" s="5"/>
    </row>
    <row r="50" spans="1:11" x14ac:dyDescent="0.25">
      <c r="A50" s="121">
        <v>44221</v>
      </c>
      <c r="C50" s="121">
        <v>44221</v>
      </c>
      <c r="E50" s="121">
        <v>43848</v>
      </c>
      <c r="G50" s="5">
        <v>43664</v>
      </c>
      <c r="K50" s="5"/>
    </row>
    <row r="51" spans="1:11" x14ac:dyDescent="0.25">
      <c r="A51" s="121">
        <v>44222</v>
      </c>
      <c r="C51" s="121">
        <v>44222</v>
      </c>
      <c r="E51" s="121">
        <v>43849</v>
      </c>
      <c r="G51" s="5">
        <v>43665</v>
      </c>
      <c r="K51" s="5"/>
    </row>
    <row r="52" spans="1:11" x14ac:dyDescent="0.25">
      <c r="A52" s="121">
        <v>44223</v>
      </c>
      <c r="C52" s="121">
        <v>44223</v>
      </c>
      <c r="E52" s="121">
        <v>43850</v>
      </c>
      <c r="G52" s="5">
        <v>43666</v>
      </c>
      <c r="K52" s="5"/>
    </row>
    <row r="53" spans="1:11" x14ac:dyDescent="0.25">
      <c r="A53" s="121">
        <v>44224</v>
      </c>
      <c r="C53" s="121">
        <v>44224</v>
      </c>
      <c r="E53" s="121">
        <v>43851</v>
      </c>
      <c r="G53" s="5">
        <v>43667</v>
      </c>
      <c r="K53" s="5"/>
    </row>
    <row r="54" spans="1:11" x14ac:dyDescent="0.25">
      <c r="A54" s="121">
        <v>44225</v>
      </c>
      <c r="C54" s="121">
        <v>44225</v>
      </c>
      <c r="E54" s="121">
        <v>43852</v>
      </c>
      <c r="G54" s="5">
        <v>43668</v>
      </c>
      <c r="K54" s="5"/>
    </row>
    <row r="55" spans="1:11" x14ac:dyDescent="0.25">
      <c r="A55" s="121">
        <v>44226</v>
      </c>
      <c r="C55" s="121">
        <v>44226</v>
      </c>
      <c r="E55" s="121">
        <v>43853</v>
      </c>
      <c r="G55" s="5">
        <v>43669</v>
      </c>
      <c r="K55" s="5"/>
    </row>
    <row r="56" spans="1:11" x14ac:dyDescent="0.25">
      <c r="A56" s="121">
        <v>44227</v>
      </c>
      <c r="C56" s="121">
        <v>44227</v>
      </c>
      <c r="E56" s="121">
        <v>43854</v>
      </c>
      <c r="G56" s="5">
        <v>43670</v>
      </c>
      <c r="K56" s="5"/>
    </row>
    <row r="57" spans="1:11" x14ac:dyDescent="0.25">
      <c r="A57" s="121">
        <v>44228</v>
      </c>
      <c r="C57" s="121">
        <v>44228</v>
      </c>
      <c r="E57" s="121">
        <v>43855</v>
      </c>
      <c r="G57" s="5">
        <v>43671</v>
      </c>
      <c r="K57" s="5"/>
    </row>
    <row r="58" spans="1:11" x14ac:dyDescent="0.25">
      <c r="A58" s="121">
        <v>44229</v>
      </c>
      <c r="C58" s="121">
        <v>44229</v>
      </c>
      <c r="E58" s="121">
        <v>43856</v>
      </c>
      <c r="G58" s="5">
        <v>43672</v>
      </c>
      <c r="K58" s="5"/>
    </row>
    <row r="59" spans="1:11" x14ac:dyDescent="0.25">
      <c r="A59" s="121">
        <v>44230</v>
      </c>
      <c r="C59" s="121">
        <v>44230</v>
      </c>
      <c r="E59" s="121">
        <v>43857</v>
      </c>
      <c r="G59" s="5">
        <v>43673</v>
      </c>
      <c r="K59" s="5"/>
    </row>
    <row r="60" spans="1:11" x14ac:dyDescent="0.25">
      <c r="A60" s="121">
        <v>44231</v>
      </c>
      <c r="C60" s="121">
        <v>44231</v>
      </c>
      <c r="E60" s="121">
        <v>43858</v>
      </c>
      <c r="G60" s="5">
        <v>43674</v>
      </c>
      <c r="K60" s="5"/>
    </row>
    <row r="61" spans="1:11" x14ac:dyDescent="0.25">
      <c r="A61" s="121">
        <v>44232</v>
      </c>
      <c r="C61" s="121">
        <v>44232</v>
      </c>
      <c r="E61" s="121">
        <v>43859</v>
      </c>
      <c r="G61" s="5">
        <v>43675</v>
      </c>
      <c r="K61" s="5"/>
    </row>
    <row r="62" spans="1:11" x14ac:dyDescent="0.25">
      <c r="A62" s="121">
        <v>44233</v>
      </c>
      <c r="C62" s="121">
        <v>44233</v>
      </c>
      <c r="E62" s="121">
        <v>43860</v>
      </c>
      <c r="G62" s="5">
        <v>43676</v>
      </c>
      <c r="K62" s="5"/>
    </row>
    <row r="63" spans="1:11" x14ac:dyDescent="0.25">
      <c r="A63" s="121">
        <v>44234</v>
      </c>
      <c r="C63" s="121">
        <v>44234</v>
      </c>
      <c r="E63" s="121">
        <v>43861</v>
      </c>
      <c r="G63" s="5">
        <v>43677</v>
      </c>
      <c r="K63" s="5"/>
    </row>
    <row r="64" spans="1:11" x14ac:dyDescent="0.25">
      <c r="A64" s="121">
        <v>44235</v>
      </c>
      <c r="C64" s="121">
        <v>44235</v>
      </c>
      <c r="E64" s="121">
        <v>43862</v>
      </c>
      <c r="G64" s="5">
        <v>43678</v>
      </c>
      <c r="K64" s="5"/>
    </row>
    <row r="65" spans="1:11" x14ac:dyDescent="0.25">
      <c r="A65" s="121">
        <v>44236</v>
      </c>
      <c r="C65" s="121">
        <v>44236</v>
      </c>
      <c r="E65" s="121">
        <v>43863</v>
      </c>
      <c r="G65" s="5">
        <v>43679</v>
      </c>
      <c r="K65" s="5"/>
    </row>
    <row r="66" spans="1:11" x14ac:dyDescent="0.25">
      <c r="A66" s="121">
        <v>44237</v>
      </c>
      <c r="C66" s="121">
        <v>44237</v>
      </c>
      <c r="E66" s="121">
        <v>43864</v>
      </c>
      <c r="G66" s="5">
        <v>43680</v>
      </c>
      <c r="K66" s="5"/>
    </row>
    <row r="67" spans="1:11" x14ac:dyDescent="0.25">
      <c r="A67" s="121">
        <v>44238</v>
      </c>
      <c r="C67" s="121">
        <v>44238</v>
      </c>
      <c r="E67" s="121">
        <v>43865</v>
      </c>
      <c r="G67" s="5">
        <v>43681</v>
      </c>
      <c r="K67" s="5"/>
    </row>
    <row r="68" spans="1:11" x14ac:dyDescent="0.25">
      <c r="A68" s="121">
        <v>44239</v>
      </c>
      <c r="C68" s="121">
        <v>44239</v>
      </c>
      <c r="E68" s="121">
        <v>43866</v>
      </c>
      <c r="G68" s="5">
        <v>43682</v>
      </c>
      <c r="K68" s="5"/>
    </row>
    <row r="69" spans="1:11" x14ac:dyDescent="0.25">
      <c r="A69" s="121">
        <v>44240</v>
      </c>
      <c r="C69" s="121">
        <v>44240</v>
      </c>
      <c r="E69" s="121">
        <v>43867</v>
      </c>
      <c r="G69" s="5">
        <v>43683</v>
      </c>
      <c r="K69" s="5"/>
    </row>
    <row r="70" spans="1:11" x14ac:dyDescent="0.25">
      <c r="A70" s="121">
        <v>44241</v>
      </c>
      <c r="C70" s="121">
        <v>44241</v>
      </c>
      <c r="E70" s="121">
        <v>43868</v>
      </c>
      <c r="G70" s="5">
        <v>43684</v>
      </c>
      <c r="K70" s="5"/>
    </row>
    <row r="71" spans="1:11" x14ac:dyDescent="0.25">
      <c r="A71" s="121">
        <v>44242</v>
      </c>
      <c r="C71" s="121">
        <v>44242</v>
      </c>
      <c r="E71" s="121">
        <v>43869</v>
      </c>
      <c r="G71" s="5">
        <v>43685</v>
      </c>
      <c r="K71" s="5"/>
    </row>
    <row r="72" spans="1:11" x14ac:dyDescent="0.25">
      <c r="A72" s="121">
        <v>44243</v>
      </c>
      <c r="C72" s="121">
        <v>44243</v>
      </c>
      <c r="E72" s="121">
        <v>43870</v>
      </c>
      <c r="G72" s="5">
        <v>43686</v>
      </c>
      <c r="K72" s="5"/>
    </row>
    <row r="73" spans="1:11" x14ac:dyDescent="0.25">
      <c r="A73" s="121">
        <v>44244</v>
      </c>
      <c r="C73" s="121">
        <v>44244</v>
      </c>
      <c r="E73" s="121">
        <v>43871</v>
      </c>
      <c r="G73" s="5">
        <v>43687</v>
      </c>
      <c r="K73" s="5"/>
    </row>
    <row r="74" spans="1:11" x14ac:dyDescent="0.25">
      <c r="A74" s="121">
        <v>44245</v>
      </c>
      <c r="C74" s="121">
        <v>44245</v>
      </c>
      <c r="E74" s="121">
        <v>43872</v>
      </c>
      <c r="G74" s="5">
        <v>43688</v>
      </c>
      <c r="K74" s="5"/>
    </row>
    <row r="75" spans="1:11" x14ac:dyDescent="0.25">
      <c r="A75" s="121">
        <v>44246</v>
      </c>
      <c r="C75" s="121">
        <v>44246</v>
      </c>
      <c r="E75" s="121">
        <v>43873</v>
      </c>
      <c r="G75" s="5">
        <v>43689</v>
      </c>
      <c r="K75" s="5"/>
    </row>
    <row r="76" spans="1:11" x14ac:dyDescent="0.25">
      <c r="A76" s="121">
        <v>44247</v>
      </c>
      <c r="C76" s="121">
        <v>44247</v>
      </c>
      <c r="E76" s="121">
        <v>43874</v>
      </c>
      <c r="G76" s="5">
        <v>43690</v>
      </c>
      <c r="K76" s="5"/>
    </row>
    <row r="77" spans="1:11" x14ac:dyDescent="0.25">
      <c r="A77" s="121">
        <v>44248</v>
      </c>
      <c r="C77" s="121">
        <v>44248</v>
      </c>
      <c r="E77" s="121">
        <v>43875</v>
      </c>
      <c r="G77" s="5">
        <v>43691</v>
      </c>
      <c r="K77" s="5"/>
    </row>
    <row r="78" spans="1:11" x14ac:dyDescent="0.25">
      <c r="A78" s="121">
        <v>44249</v>
      </c>
      <c r="C78" s="121">
        <v>44249</v>
      </c>
      <c r="E78" s="121">
        <v>43876</v>
      </c>
      <c r="G78" s="5">
        <v>43692</v>
      </c>
      <c r="K78" s="5"/>
    </row>
    <row r="79" spans="1:11" x14ac:dyDescent="0.25">
      <c r="A79" s="121">
        <v>44250</v>
      </c>
      <c r="C79" s="121">
        <v>44250</v>
      </c>
      <c r="E79" s="121">
        <v>43877</v>
      </c>
      <c r="G79" s="5">
        <v>43693</v>
      </c>
      <c r="K79" s="5"/>
    </row>
    <row r="80" spans="1:11" x14ac:dyDescent="0.25">
      <c r="A80" s="121">
        <v>44251</v>
      </c>
      <c r="C80" s="121">
        <v>44251</v>
      </c>
      <c r="E80" s="121">
        <v>43878</v>
      </c>
      <c r="G80" s="5">
        <v>43694</v>
      </c>
      <c r="K80" s="5"/>
    </row>
    <row r="81" spans="1:11" x14ac:dyDescent="0.25">
      <c r="A81" s="121">
        <v>44252</v>
      </c>
      <c r="C81" s="121">
        <v>44252</v>
      </c>
      <c r="E81" s="121">
        <v>43879</v>
      </c>
      <c r="G81" s="5">
        <v>43695</v>
      </c>
      <c r="K81" s="5"/>
    </row>
    <row r="82" spans="1:11" x14ac:dyDescent="0.25">
      <c r="A82" s="121">
        <v>44253</v>
      </c>
      <c r="C82" s="121">
        <v>44253</v>
      </c>
      <c r="E82" s="121">
        <v>43880</v>
      </c>
      <c r="G82" s="5">
        <v>43696</v>
      </c>
      <c r="K82" s="5"/>
    </row>
    <row r="83" spans="1:11" x14ac:dyDescent="0.25">
      <c r="A83" s="121">
        <v>44254</v>
      </c>
      <c r="C83" s="121">
        <v>44254</v>
      </c>
      <c r="E83" s="121">
        <v>43881</v>
      </c>
      <c r="G83" s="5">
        <v>43697</v>
      </c>
      <c r="K83" s="5"/>
    </row>
    <row r="84" spans="1:11" x14ac:dyDescent="0.25">
      <c r="A84" s="121">
        <v>44255</v>
      </c>
      <c r="C84" s="121">
        <v>44255</v>
      </c>
      <c r="E84" s="121">
        <v>43882</v>
      </c>
      <c r="G84" s="5">
        <v>43698</v>
      </c>
      <c r="K84" s="5"/>
    </row>
    <row r="85" spans="1:11" x14ac:dyDescent="0.25">
      <c r="A85" s="121">
        <v>44256</v>
      </c>
      <c r="C85" s="121"/>
      <c r="E85" s="121">
        <v>43883</v>
      </c>
      <c r="G85" s="5">
        <v>43699</v>
      </c>
      <c r="K85" s="5"/>
    </row>
    <row r="86" spans="1:11" x14ac:dyDescent="0.25">
      <c r="A86" s="121">
        <v>44257</v>
      </c>
      <c r="C86" s="121"/>
      <c r="E86" s="121">
        <v>43884</v>
      </c>
      <c r="G86" s="5">
        <v>43700</v>
      </c>
      <c r="K86" s="5"/>
    </row>
    <row r="87" spans="1:11" x14ac:dyDescent="0.25">
      <c r="A87" s="121">
        <v>44258</v>
      </c>
      <c r="C87" s="121"/>
      <c r="E87" s="121">
        <v>43885</v>
      </c>
      <c r="G87" s="5">
        <v>43701</v>
      </c>
      <c r="K87" s="5"/>
    </row>
    <row r="88" spans="1:11" x14ac:dyDescent="0.25">
      <c r="A88" s="121">
        <v>44259</v>
      </c>
      <c r="C88" s="121"/>
      <c r="E88" s="121">
        <v>43886</v>
      </c>
      <c r="G88" s="5">
        <v>43702</v>
      </c>
      <c r="K88" s="5"/>
    </row>
    <row r="89" spans="1:11" x14ac:dyDescent="0.25">
      <c r="A89" s="121">
        <v>44260</v>
      </c>
      <c r="C89" s="121"/>
      <c r="E89" s="121">
        <v>43887</v>
      </c>
      <c r="G89" s="5">
        <v>43703</v>
      </c>
      <c r="K89" s="5"/>
    </row>
    <row r="90" spans="1:11" x14ac:dyDescent="0.25">
      <c r="A90" s="121">
        <v>44261</v>
      </c>
      <c r="C90" s="121"/>
      <c r="E90" s="121">
        <v>43888</v>
      </c>
      <c r="G90" s="5">
        <v>43704</v>
      </c>
      <c r="K90" s="5"/>
    </row>
    <row r="91" spans="1:11" x14ac:dyDescent="0.25">
      <c r="A91" s="121">
        <v>44262</v>
      </c>
      <c r="C91" s="121"/>
      <c r="E91" s="121">
        <v>43889</v>
      </c>
      <c r="G91" s="5">
        <v>43705</v>
      </c>
      <c r="K91" s="5"/>
    </row>
    <row r="92" spans="1:11" x14ac:dyDescent="0.25">
      <c r="A92" s="121">
        <v>44263</v>
      </c>
      <c r="C92" s="121"/>
      <c r="E92" s="121">
        <v>43890</v>
      </c>
      <c r="G92" s="5">
        <v>43706</v>
      </c>
      <c r="K92" s="5"/>
    </row>
    <row r="93" spans="1:11" x14ac:dyDescent="0.25">
      <c r="A93" s="121">
        <v>44264</v>
      </c>
      <c r="C93" s="121"/>
      <c r="E93" s="121">
        <v>43891</v>
      </c>
      <c r="G93" s="5">
        <v>43707</v>
      </c>
      <c r="K93" s="5"/>
    </row>
    <row r="94" spans="1:11" x14ac:dyDescent="0.25">
      <c r="A94" s="121">
        <v>44265</v>
      </c>
      <c r="C94" s="121"/>
      <c r="E94" s="121">
        <v>43892</v>
      </c>
      <c r="G94" s="5">
        <v>43708</v>
      </c>
      <c r="K94" s="5"/>
    </row>
    <row r="95" spans="1:11" x14ac:dyDescent="0.25">
      <c r="A95" s="121">
        <v>44266</v>
      </c>
      <c r="C95" s="121"/>
      <c r="E95" s="121">
        <v>43893</v>
      </c>
      <c r="G95" s="5">
        <v>43709</v>
      </c>
      <c r="K95" s="5"/>
    </row>
    <row r="96" spans="1:11" x14ac:dyDescent="0.25">
      <c r="A96" s="121">
        <v>44267</v>
      </c>
      <c r="C96" s="121"/>
      <c r="E96" s="121">
        <v>43894</v>
      </c>
      <c r="G96" s="5">
        <v>43710</v>
      </c>
      <c r="K96" s="5"/>
    </row>
    <row r="97" spans="1:11" x14ac:dyDescent="0.25">
      <c r="A97" s="121">
        <v>44268</v>
      </c>
      <c r="C97" s="121"/>
      <c r="E97" s="121">
        <v>43895</v>
      </c>
      <c r="G97" s="5">
        <v>43711</v>
      </c>
      <c r="K97" s="5"/>
    </row>
    <row r="98" spans="1:11" x14ac:dyDescent="0.25">
      <c r="A98" s="121">
        <v>44269</v>
      </c>
      <c r="C98" s="121"/>
      <c r="E98" s="121">
        <v>43896</v>
      </c>
      <c r="G98" s="5">
        <v>43712</v>
      </c>
      <c r="K98" s="5"/>
    </row>
    <row r="99" spans="1:11" x14ac:dyDescent="0.25">
      <c r="A99" s="121">
        <v>44270</v>
      </c>
      <c r="C99" s="121"/>
      <c r="E99" s="121">
        <v>43897</v>
      </c>
      <c r="G99" s="5">
        <v>43713</v>
      </c>
      <c r="K99" s="5"/>
    </row>
    <row r="100" spans="1:11" x14ac:dyDescent="0.25">
      <c r="A100" s="121">
        <v>44271</v>
      </c>
      <c r="C100" s="121"/>
      <c r="E100" s="121">
        <v>43898</v>
      </c>
      <c r="G100" s="5">
        <v>43714</v>
      </c>
      <c r="K100" s="5"/>
    </row>
    <row r="101" spans="1:11" x14ac:dyDescent="0.25">
      <c r="A101" s="121">
        <v>44272</v>
      </c>
      <c r="C101" s="121"/>
      <c r="E101" s="121">
        <v>43899</v>
      </c>
      <c r="G101" s="5">
        <v>43715</v>
      </c>
      <c r="K101" s="5"/>
    </row>
    <row r="102" spans="1:11" x14ac:dyDescent="0.25">
      <c r="A102" s="121">
        <v>44273</v>
      </c>
      <c r="C102" s="121"/>
      <c r="E102" s="121">
        <v>43900</v>
      </c>
      <c r="G102" s="5">
        <v>43716</v>
      </c>
      <c r="K102" s="5"/>
    </row>
    <row r="103" spans="1:11" x14ac:dyDescent="0.25">
      <c r="A103" s="121">
        <v>44274</v>
      </c>
      <c r="C103" s="121"/>
      <c r="E103" s="121">
        <v>43901</v>
      </c>
      <c r="G103" s="5">
        <v>43717</v>
      </c>
      <c r="K103" s="5"/>
    </row>
    <row r="104" spans="1:11" x14ac:dyDescent="0.25">
      <c r="A104" s="121">
        <v>44275</v>
      </c>
      <c r="C104" s="121"/>
      <c r="E104" s="121">
        <v>43902</v>
      </c>
      <c r="G104" s="5">
        <v>43718</v>
      </c>
      <c r="K104" s="5"/>
    </row>
    <row r="105" spans="1:11" x14ac:dyDescent="0.25">
      <c r="A105" s="121">
        <v>44276</v>
      </c>
      <c r="C105" s="121"/>
      <c r="E105" s="121">
        <v>43903</v>
      </c>
      <c r="G105" s="5">
        <v>43719</v>
      </c>
      <c r="K105" s="5"/>
    </row>
    <row r="106" spans="1:11" x14ac:dyDescent="0.25">
      <c r="A106" s="121">
        <v>44277</v>
      </c>
      <c r="C106" s="121"/>
      <c r="E106" s="121">
        <v>43904</v>
      </c>
      <c r="G106" s="5">
        <v>43720</v>
      </c>
      <c r="K106" s="5"/>
    </row>
    <row r="107" spans="1:11" x14ac:dyDescent="0.25">
      <c r="A107" s="121">
        <v>44278</v>
      </c>
      <c r="C107" s="121"/>
      <c r="E107" s="121">
        <v>43905</v>
      </c>
      <c r="G107" s="5">
        <v>43721</v>
      </c>
      <c r="K107" s="5"/>
    </row>
    <row r="108" spans="1:11" x14ac:dyDescent="0.25">
      <c r="A108" s="121">
        <v>44279</v>
      </c>
      <c r="C108" s="121"/>
      <c r="E108" s="121">
        <v>43906</v>
      </c>
      <c r="G108" s="5">
        <v>43722</v>
      </c>
      <c r="K108" s="5"/>
    </row>
    <row r="109" spans="1:11" x14ac:dyDescent="0.25">
      <c r="A109" s="121">
        <v>44280</v>
      </c>
      <c r="C109" s="121"/>
      <c r="E109" s="121">
        <v>43907</v>
      </c>
      <c r="G109" s="5">
        <v>43723</v>
      </c>
      <c r="K109" s="5"/>
    </row>
    <row r="110" spans="1:11" x14ac:dyDescent="0.25">
      <c r="A110" s="121">
        <v>44281</v>
      </c>
      <c r="C110" s="121"/>
      <c r="E110" s="121">
        <v>43908</v>
      </c>
      <c r="G110" s="5">
        <v>43724</v>
      </c>
      <c r="K110" s="5"/>
    </row>
    <row r="111" spans="1:11" x14ac:dyDescent="0.25">
      <c r="A111" s="121">
        <v>44282</v>
      </c>
      <c r="C111" s="121"/>
      <c r="E111" s="121">
        <v>43909</v>
      </c>
      <c r="G111" s="5">
        <v>43725</v>
      </c>
      <c r="K111" s="5"/>
    </row>
    <row r="112" spans="1:11" x14ac:dyDescent="0.25">
      <c r="A112" s="121">
        <v>44283</v>
      </c>
      <c r="C112" s="121"/>
      <c r="E112" s="121">
        <v>43910</v>
      </c>
      <c r="G112" s="5">
        <v>43726</v>
      </c>
      <c r="K112" s="5"/>
    </row>
    <row r="113" spans="1:11" x14ac:dyDescent="0.25">
      <c r="A113" s="121">
        <v>44284</v>
      </c>
      <c r="C113" s="121"/>
      <c r="E113" s="121">
        <v>43911</v>
      </c>
      <c r="G113" s="5">
        <v>43727</v>
      </c>
      <c r="K113" s="5"/>
    </row>
    <row r="114" spans="1:11" x14ac:dyDescent="0.25">
      <c r="A114" s="121">
        <v>44285</v>
      </c>
      <c r="C114" s="121"/>
      <c r="E114" s="121">
        <v>43912</v>
      </c>
      <c r="G114" s="5">
        <v>43728</v>
      </c>
      <c r="K114" s="5"/>
    </row>
    <row r="115" spans="1:11" x14ac:dyDescent="0.25">
      <c r="A115" s="121">
        <v>44286</v>
      </c>
      <c r="C115" s="121"/>
      <c r="E115" s="121">
        <v>43913</v>
      </c>
      <c r="G115" s="5">
        <v>43729</v>
      </c>
      <c r="K115" s="5"/>
    </row>
    <row r="116" spans="1:11" x14ac:dyDescent="0.25">
      <c r="A116" s="121">
        <v>44287</v>
      </c>
      <c r="C116" s="121"/>
      <c r="E116" s="121">
        <v>43914</v>
      </c>
      <c r="G116" s="5">
        <v>43730</v>
      </c>
      <c r="K116" s="5"/>
    </row>
    <row r="117" spans="1:11" x14ac:dyDescent="0.25">
      <c r="A117" s="121">
        <v>44288</v>
      </c>
      <c r="C117" s="121"/>
      <c r="E117" s="121">
        <v>43915</v>
      </c>
      <c r="G117" s="5">
        <v>43731</v>
      </c>
      <c r="K117" s="5"/>
    </row>
    <row r="118" spans="1:11" x14ac:dyDescent="0.25">
      <c r="A118" s="121">
        <v>44289</v>
      </c>
      <c r="C118" s="121"/>
      <c r="E118" s="121">
        <v>43916</v>
      </c>
      <c r="G118" s="5">
        <v>43732</v>
      </c>
      <c r="K118" s="5"/>
    </row>
    <row r="119" spans="1:11" x14ac:dyDescent="0.25">
      <c r="A119" s="121">
        <v>44290</v>
      </c>
      <c r="C119" s="121"/>
      <c r="E119" s="121">
        <v>43917</v>
      </c>
      <c r="G119" s="5">
        <v>43733</v>
      </c>
      <c r="K119" s="5"/>
    </row>
    <row r="120" spans="1:11" x14ac:dyDescent="0.25">
      <c r="A120" s="121">
        <v>44291</v>
      </c>
      <c r="C120" s="121"/>
      <c r="E120" s="121">
        <v>43918</v>
      </c>
      <c r="G120" s="5">
        <v>43734</v>
      </c>
      <c r="K120" s="5"/>
    </row>
    <row r="121" spans="1:11" x14ac:dyDescent="0.25">
      <c r="A121" s="121">
        <v>44292</v>
      </c>
      <c r="C121" s="121"/>
      <c r="E121" s="121">
        <v>43919</v>
      </c>
      <c r="G121" s="5">
        <v>43735</v>
      </c>
      <c r="K121" s="5"/>
    </row>
    <row r="122" spans="1:11" x14ac:dyDescent="0.25">
      <c r="A122" s="121">
        <v>44293</v>
      </c>
      <c r="C122" s="121"/>
      <c r="E122" s="121">
        <v>43920</v>
      </c>
      <c r="G122" s="5">
        <v>43736</v>
      </c>
      <c r="K122" s="5"/>
    </row>
    <row r="123" spans="1:11" x14ac:dyDescent="0.25">
      <c r="A123" s="121">
        <v>44294</v>
      </c>
      <c r="C123" s="121"/>
      <c r="E123" s="121">
        <v>43921</v>
      </c>
      <c r="G123" s="5">
        <v>43737</v>
      </c>
      <c r="K123" s="5"/>
    </row>
    <row r="124" spans="1:11" x14ac:dyDescent="0.25">
      <c r="A124" s="121">
        <v>44295</v>
      </c>
      <c r="C124" s="121"/>
      <c r="E124" s="121">
        <v>43922</v>
      </c>
      <c r="G124" s="5">
        <v>43738</v>
      </c>
      <c r="K124" s="5"/>
    </row>
    <row r="125" spans="1:11" x14ac:dyDescent="0.25">
      <c r="A125" s="121">
        <v>44296</v>
      </c>
      <c r="E125" s="121">
        <v>43923</v>
      </c>
      <c r="G125" s="5">
        <v>43739</v>
      </c>
      <c r="K125" s="5"/>
    </row>
    <row r="126" spans="1:11" x14ac:dyDescent="0.25">
      <c r="A126" s="121">
        <v>44297</v>
      </c>
      <c r="E126" s="121">
        <v>43924</v>
      </c>
      <c r="G126" s="5">
        <v>43740</v>
      </c>
      <c r="K126" s="5"/>
    </row>
    <row r="127" spans="1:11" x14ac:dyDescent="0.25">
      <c r="A127" s="121">
        <v>44298</v>
      </c>
      <c r="E127" s="121">
        <v>43925</v>
      </c>
      <c r="G127" s="5">
        <v>43741</v>
      </c>
      <c r="K127" s="5"/>
    </row>
    <row r="128" spans="1:11" x14ac:dyDescent="0.25">
      <c r="A128" s="121">
        <v>44299</v>
      </c>
      <c r="E128" s="121">
        <v>43926</v>
      </c>
      <c r="G128" s="5">
        <v>43742</v>
      </c>
      <c r="K128" s="5"/>
    </row>
    <row r="129" spans="1:11" x14ac:dyDescent="0.25">
      <c r="A129" s="121">
        <v>44300</v>
      </c>
      <c r="E129" s="121">
        <v>43927</v>
      </c>
      <c r="G129" s="5">
        <v>43743</v>
      </c>
      <c r="K129" s="5"/>
    </row>
    <row r="130" spans="1:11" x14ac:dyDescent="0.25">
      <c r="A130" s="121">
        <v>44301</v>
      </c>
      <c r="E130" s="121">
        <v>43928</v>
      </c>
      <c r="G130" s="5">
        <v>43744</v>
      </c>
      <c r="K130" s="5"/>
    </row>
    <row r="131" spans="1:11" x14ac:dyDescent="0.25">
      <c r="A131" s="121">
        <v>44302</v>
      </c>
      <c r="E131" s="121">
        <v>43929</v>
      </c>
      <c r="G131" s="5">
        <v>43745</v>
      </c>
      <c r="K131" s="5"/>
    </row>
    <row r="132" spans="1:11" x14ac:dyDescent="0.25">
      <c r="A132" s="121">
        <v>44303</v>
      </c>
      <c r="E132" s="121">
        <v>43930</v>
      </c>
      <c r="G132" s="5">
        <v>43746</v>
      </c>
      <c r="K132" s="5"/>
    </row>
    <row r="133" spans="1:11" x14ac:dyDescent="0.25">
      <c r="A133" s="121">
        <v>44304</v>
      </c>
      <c r="E133" s="121">
        <v>43931</v>
      </c>
      <c r="G133" s="5">
        <v>43747</v>
      </c>
      <c r="K133" s="5"/>
    </row>
    <row r="134" spans="1:11" x14ac:dyDescent="0.25">
      <c r="A134" s="121">
        <v>44305</v>
      </c>
      <c r="E134" s="121">
        <v>43932</v>
      </c>
      <c r="G134" s="5">
        <v>43748</v>
      </c>
      <c r="K134" s="5"/>
    </row>
    <row r="135" spans="1:11" x14ac:dyDescent="0.25">
      <c r="A135" s="121">
        <v>44306</v>
      </c>
      <c r="E135" s="121">
        <v>43933</v>
      </c>
      <c r="G135" s="5">
        <v>43749</v>
      </c>
      <c r="K135" s="5"/>
    </row>
    <row r="136" spans="1:11" x14ac:dyDescent="0.25">
      <c r="A136" s="121">
        <v>44307</v>
      </c>
      <c r="E136" s="121">
        <v>43934</v>
      </c>
      <c r="G136" s="5">
        <v>43750</v>
      </c>
      <c r="K136" s="5"/>
    </row>
    <row r="137" spans="1:11" x14ac:dyDescent="0.25">
      <c r="A137" s="121">
        <v>44308</v>
      </c>
      <c r="E137" s="121">
        <v>43935</v>
      </c>
      <c r="G137" s="5">
        <v>43751</v>
      </c>
      <c r="K137" s="5"/>
    </row>
    <row r="138" spans="1:11" x14ac:dyDescent="0.25">
      <c r="A138" s="121">
        <v>44309</v>
      </c>
      <c r="E138" s="121">
        <v>43936</v>
      </c>
      <c r="G138" s="5">
        <v>43752</v>
      </c>
      <c r="K138" s="5"/>
    </row>
    <row r="139" spans="1:11" x14ac:dyDescent="0.25">
      <c r="A139" s="121">
        <v>44310</v>
      </c>
      <c r="E139" s="121">
        <v>43937</v>
      </c>
      <c r="G139" s="5">
        <v>43753</v>
      </c>
      <c r="K139" s="5"/>
    </row>
    <row r="140" spans="1:11" x14ac:dyDescent="0.25">
      <c r="A140" s="121">
        <v>44311</v>
      </c>
      <c r="E140" s="121">
        <v>43938</v>
      </c>
      <c r="G140" s="5">
        <v>43754</v>
      </c>
      <c r="K140" s="5"/>
    </row>
    <row r="141" spans="1:11" x14ac:dyDescent="0.25">
      <c r="A141" s="121">
        <v>44312</v>
      </c>
      <c r="E141" s="121">
        <v>43939</v>
      </c>
      <c r="G141" s="5">
        <v>43755</v>
      </c>
      <c r="K141" s="5"/>
    </row>
    <row r="142" spans="1:11" x14ac:dyDescent="0.25">
      <c r="A142" s="121">
        <v>44313</v>
      </c>
      <c r="E142" s="121">
        <v>43940</v>
      </c>
      <c r="G142" s="5">
        <v>43756</v>
      </c>
      <c r="K142" s="5"/>
    </row>
    <row r="143" spans="1:11" x14ac:dyDescent="0.25">
      <c r="A143" s="121">
        <v>44314</v>
      </c>
      <c r="E143" s="121">
        <v>43941</v>
      </c>
      <c r="G143" s="5">
        <v>43757</v>
      </c>
      <c r="K143" s="5"/>
    </row>
    <row r="144" spans="1:11" x14ac:dyDescent="0.25">
      <c r="A144" s="121">
        <v>44315</v>
      </c>
      <c r="E144" s="121">
        <v>43942</v>
      </c>
      <c r="G144" s="5">
        <v>43758</v>
      </c>
      <c r="K144" s="5"/>
    </row>
    <row r="145" spans="1:11" x14ac:dyDescent="0.25">
      <c r="A145" s="121">
        <v>44316</v>
      </c>
      <c r="E145" s="121">
        <v>43943</v>
      </c>
      <c r="G145" s="5">
        <v>43759</v>
      </c>
      <c r="K145" s="5"/>
    </row>
    <row r="146" spans="1:11" x14ac:dyDescent="0.25">
      <c r="A146" s="121">
        <v>44317</v>
      </c>
      <c r="E146" s="121">
        <v>43944</v>
      </c>
      <c r="G146" s="5">
        <v>43760</v>
      </c>
      <c r="K146" s="5"/>
    </row>
    <row r="147" spans="1:11" x14ac:dyDescent="0.25">
      <c r="A147" s="121">
        <v>44318</v>
      </c>
      <c r="E147" s="121">
        <v>43945</v>
      </c>
      <c r="G147" s="5">
        <v>43761</v>
      </c>
      <c r="K147" s="5"/>
    </row>
    <row r="148" spans="1:11" x14ac:dyDescent="0.25">
      <c r="A148" s="121">
        <v>44319</v>
      </c>
      <c r="E148" s="121">
        <v>43946</v>
      </c>
      <c r="G148" s="5">
        <v>43762</v>
      </c>
      <c r="K148" s="5"/>
    </row>
    <row r="149" spans="1:11" x14ac:dyDescent="0.25">
      <c r="A149" s="121">
        <v>44320</v>
      </c>
      <c r="E149" s="121">
        <v>43947</v>
      </c>
      <c r="G149" s="5">
        <v>43763</v>
      </c>
      <c r="K149" s="5"/>
    </row>
    <row r="150" spans="1:11" x14ac:dyDescent="0.25">
      <c r="A150" s="121">
        <v>44321</v>
      </c>
      <c r="E150" s="121">
        <v>43948</v>
      </c>
      <c r="G150" s="5">
        <v>43764</v>
      </c>
      <c r="K150" s="5"/>
    </row>
    <row r="151" spans="1:11" x14ac:dyDescent="0.25">
      <c r="A151" s="121">
        <v>44322</v>
      </c>
      <c r="E151" s="121">
        <v>43949</v>
      </c>
      <c r="G151" s="5">
        <v>43765</v>
      </c>
      <c r="K151" s="5"/>
    </row>
    <row r="152" spans="1:11" x14ac:dyDescent="0.25">
      <c r="A152" s="121">
        <v>44323</v>
      </c>
      <c r="E152" s="121">
        <v>43950</v>
      </c>
      <c r="G152" s="5">
        <v>43766</v>
      </c>
      <c r="K152" s="5"/>
    </row>
    <row r="153" spans="1:11" x14ac:dyDescent="0.25">
      <c r="A153" s="121">
        <v>44324</v>
      </c>
      <c r="E153" s="121">
        <v>43951</v>
      </c>
      <c r="G153" s="5">
        <v>43767</v>
      </c>
      <c r="K153" s="5"/>
    </row>
    <row r="154" spans="1:11" x14ac:dyDescent="0.25">
      <c r="A154" s="121">
        <v>44325</v>
      </c>
      <c r="E154" s="121">
        <v>43952</v>
      </c>
      <c r="G154" s="5">
        <v>43768</v>
      </c>
      <c r="K154" s="5"/>
    </row>
    <row r="155" spans="1:11" x14ac:dyDescent="0.25">
      <c r="A155" s="121">
        <v>44326</v>
      </c>
      <c r="E155" s="121">
        <v>43953</v>
      </c>
      <c r="G155" s="5">
        <v>43769</v>
      </c>
      <c r="K155" s="5"/>
    </row>
    <row r="156" spans="1:11" x14ac:dyDescent="0.25">
      <c r="A156" s="121">
        <v>44327</v>
      </c>
      <c r="E156" s="121">
        <v>43954</v>
      </c>
      <c r="G156" s="5">
        <v>43770</v>
      </c>
      <c r="K156" s="5"/>
    </row>
    <row r="157" spans="1:11" x14ac:dyDescent="0.25">
      <c r="A157" s="121">
        <v>44328</v>
      </c>
      <c r="E157" s="121">
        <v>43955</v>
      </c>
      <c r="G157" s="5">
        <v>43771</v>
      </c>
      <c r="K157" s="5"/>
    </row>
    <row r="158" spans="1:11" x14ac:dyDescent="0.25">
      <c r="A158" s="121">
        <v>44329</v>
      </c>
      <c r="E158" s="121">
        <v>43956</v>
      </c>
      <c r="G158" s="5">
        <v>43772</v>
      </c>
      <c r="K158" s="5"/>
    </row>
    <row r="159" spans="1:11" x14ac:dyDescent="0.25">
      <c r="A159" s="121">
        <v>44330</v>
      </c>
      <c r="E159" s="121">
        <v>43957</v>
      </c>
      <c r="G159" s="5">
        <v>43773</v>
      </c>
      <c r="K159" s="5"/>
    </row>
    <row r="160" spans="1:11" x14ac:dyDescent="0.25">
      <c r="A160" s="121">
        <v>44331</v>
      </c>
      <c r="E160" s="121">
        <v>43958</v>
      </c>
      <c r="G160" s="5">
        <v>43774</v>
      </c>
      <c r="K160" s="5"/>
    </row>
    <row r="161" spans="1:11" x14ac:dyDescent="0.25">
      <c r="A161" s="121">
        <v>44332</v>
      </c>
      <c r="E161" s="121">
        <v>43959</v>
      </c>
      <c r="G161" s="5">
        <v>43775</v>
      </c>
      <c r="K161" s="5"/>
    </row>
    <row r="162" spans="1:11" x14ac:dyDescent="0.25">
      <c r="A162" s="121">
        <v>44333</v>
      </c>
      <c r="E162" s="121">
        <v>43960</v>
      </c>
      <c r="G162" s="5">
        <v>43776</v>
      </c>
      <c r="K162" s="5"/>
    </row>
    <row r="163" spans="1:11" x14ac:dyDescent="0.25">
      <c r="A163" s="121">
        <v>44334</v>
      </c>
      <c r="E163" s="121">
        <v>43961</v>
      </c>
      <c r="G163" s="5">
        <v>43777</v>
      </c>
      <c r="K163" s="5"/>
    </row>
    <row r="164" spans="1:11" x14ac:dyDescent="0.25">
      <c r="A164" s="121">
        <v>44335</v>
      </c>
      <c r="E164" s="121">
        <v>43962</v>
      </c>
      <c r="G164" s="5">
        <v>43778</v>
      </c>
      <c r="K164" s="5"/>
    </row>
    <row r="165" spans="1:11" x14ac:dyDescent="0.25">
      <c r="A165" s="121">
        <v>44336</v>
      </c>
      <c r="E165" s="121">
        <v>43963</v>
      </c>
      <c r="G165" s="5">
        <v>43779</v>
      </c>
      <c r="K165" s="5"/>
    </row>
    <row r="166" spans="1:11" x14ac:dyDescent="0.25">
      <c r="A166" s="121">
        <v>44337</v>
      </c>
      <c r="E166" s="121">
        <v>43964</v>
      </c>
      <c r="G166" s="5">
        <v>43780</v>
      </c>
      <c r="K166" s="5"/>
    </row>
    <row r="167" spans="1:11" x14ac:dyDescent="0.25">
      <c r="A167" s="121">
        <v>44338</v>
      </c>
      <c r="E167" s="121">
        <v>43965</v>
      </c>
      <c r="G167" s="5">
        <v>43781</v>
      </c>
      <c r="K167" s="5"/>
    </row>
    <row r="168" spans="1:11" x14ac:dyDescent="0.25">
      <c r="A168" s="121">
        <v>44339</v>
      </c>
      <c r="E168" s="121">
        <v>43966</v>
      </c>
      <c r="G168" s="5">
        <v>43782</v>
      </c>
      <c r="K168" s="5"/>
    </row>
    <row r="169" spans="1:11" x14ac:dyDescent="0.25">
      <c r="A169" s="121">
        <v>44340</v>
      </c>
      <c r="E169" s="121">
        <v>43967</v>
      </c>
      <c r="G169" s="5">
        <v>43783</v>
      </c>
      <c r="K169" s="5"/>
    </row>
    <row r="170" spans="1:11" x14ac:dyDescent="0.25">
      <c r="A170" s="121">
        <v>44341</v>
      </c>
      <c r="E170" s="121">
        <v>43968</v>
      </c>
      <c r="G170" s="5">
        <v>43784</v>
      </c>
      <c r="K170" s="5"/>
    </row>
    <row r="171" spans="1:11" x14ac:dyDescent="0.25">
      <c r="A171" s="121">
        <v>44342</v>
      </c>
      <c r="E171" s="121">
        <v>43969</v>
      </c>
      <c r="G171" s="5">
        <v>43785</v>
      </c>
      <c r="K171" s="5"/>
    </row>
    <row r="172" spans="1:11" x14ac:dyDescent="0.25">
      <c r="A172" s="121">
        <v>44343</v>
      </c>
      <c r="E172" s="121">
        <v>43970</v>
      </c>
      <c r="G172" s="5">
        <v>43786</v>
      </c>
      <c r="K172" s="5"/>
    </row>
    <row r="173" spans="1:11" x14ac:dyDescent="0.25">
      <c r="A173" s="121">
        <v>44344</v>
      </c>
      <c r="E173" s="121">
        <v>43971</v>
      </c>
      <c r="G173" s="5">
        <v>43787</v>
      </c>
      <c r="K173" s="5"/>
    </row>
    <row r="174" spans="1:11" x14ac:dyDescent="0.25">
      <c r="A174" s="121">
        <v>44345</v>
      </c>
      <c r="E174" s="121">
        <v>43972</v>
      </c>
      <c r="G174" s="5">
        <v>43788</v>
      </c>
      <c r="K174" s="5"/>
    </row>
    <row r="175" spans="1:11" x14ac:dyDescent="0.25">
      <c r="A175" s="121">
        <v>44346</v>
      </c>
      <c r="E175" s="121">
        <v>43973</v>
      </c>
      <c r="G175" s="5">
        <v>43789</v>
      </c>
      <c r="K175" s="5"/>
    </row>
    <row r="176" spans="1:11" x14ac:dyDescent="0.25">
      <c r="A176" s="121">
        <v>44347</v>
      </c>
      <c r="E176" s="121">
        <v>43974</v>
      </c>
      <c r="G176" s="5">
        <v>43790</v>
      </c>
      <c r="K176" s="5"/>
    </row>
    <row r="177" spans="1:11" x14ac:dyDescent="0.25">
      <c r="A177" s="121">
        <v>44348</v>
      </c>
      <c r="E177" s="121">
        <v>43975</v>
      </c>
      <c r="G177" s="5">
        <v>43791</v>
      </c>
      <c r="K177" s="5"/>
    </row>
    <row r="178" spans="1:11" x14ac:dyDescent="0.25">
      <c r="A178" s="121">
        <v>44349</v>
      </c>
      <c r="E178" s="121">
        <v>43976</v>
      </c>
      <c r="G178" s="5">
        <v>43792</v>
      </c>
      <c r="K178" s="5"/>
    </row>
    <row r="179" spans="1:11" x14ac:dyDescent="0.25">
      <c r="A179" s="121">
        <v>44350</v>
      </c>
      <c r="E179" s="121">
        <v>43977</v>
      </c>
      <c r="G179" s="5">
        <v>43793</v>
      </c>
      <c r="K179" s="5"/>
    </row>
    <row r="180" spans="1:11" x14ac:dyDescent="0.25">
      <c r="A180" s="121">
        <v>44351</v>
      </c>
      <c r="E180" s="121">
        <v>43978</v>
      </c>
      <c r="G180" s="5">
        <v>43794</v>
      </c>
      <c r="K180" s="5"/>
    </row>
    <row r="181" spans="1:11" x14ac:dyDescent="0.25">
      <c r="A181" s="121">
        <v>44352</v>
      </c>
      <c r="E181" s="121">
        <v>43979</v>
      </c>
      <c r="G181" s="5">
        <v>43795</v>
      </c>
      <c r="K181" s="5"/>
    </row>
    <row r="182" spans="1:11" x14ac:dyDescent="0.25">
      <c r="A182" s="121">
        <v>44353</v>
      </c>
      <c r="E182" s="121">
        <v>43980</v>
      </c>
      <c r="G182" s="5">
        <v>43796</v>
      </c>
      <c r="K182" s="5"/>
    </row>
    <row r="183" spans="1:11" x14ac:dyDescent="0.25">
      <c r="A183" s="121">
        <v>44354</v>
      </c>
      <c r="E183" s="121">
        <v>43981</v>
      </c>
      <c r="G183" s="5">
        <v>43797</v>
      </c>
      <c r="K183" s="5"/>
    </row>
    <row r="184" spans="1:11" x14ac:dyDescent="0.25">
      <c r="A184" s="121">
        <v>44355</v>
      </c>
      <c r="E184" s="121">
        <v>43982</v>
      </c>
      <c r="G184" s="5">
        <v>43798</v>
      </c>
      <c r="K184" s="5"/>
    </row>
    <row r="185" spans="1:11" x14ac:dyDescent="0.25">
      <c r="A185" s="121">
        <v>44356</v>
      </c>
      <c r="E185" s="121">
        <v>43983</v>
      </c>
      <c r="G185" s="5">
        <v>43799</v>
      </c>
      <c r="K185" s="5"/>
    </row>
    <row r="186" spans="1:11" x14ac:dyDescent="0.25">
      <c r="A186" s="121">
        <v>44357</v>
      </c>
      <c r="E186" s="121">
        <v>43984</v>
      </c>
      <c r="G186" s="5">
        <v>43800</v>
      </c>
      <c r="K186" s="5"/>
    </row>
    <row r="187" spans="1:11" x14ac:dyDescent="0.25">
      <c r="A187" s="121">
        <v>44358</v>
      </c>
      <c r="E187" s="121">
        <v>43985</v>
      </c>
      <c r="G187" s="5">
        <v>43801</v>
      </c>
      <c r="K187" s="5"/>
    </row>
    <row r="188" spans="1:11" x14ac:dyDescent="0.25">
      <c r="A188" s="121">
        <v>44359</v>
      </c>
      <c r="E188" s="121">
        <v>43986</v>
      </c>
      <c r="G188" s="5">
        <v>43802</v>
      </c>
      <c r="K188" s="5"/>
    </row>
    <row r="189" spans="1:11" x14ac:dyDescent="0.25">
      <c r="A189" s="121">
        <v>44360</v>
      </c>
      <c r="E189" s="121">
        <v>43987</v>
      </c>
      <c r="G189" s="5">
        <v>43803</v>
      </c>
      <c r="K189" s="5"/>
    </row>
    <row r="190" spans="1:11" x14ac:dyDescent="0.25">
      <c r="A190" s="121">
        <v>44361</v>
      </c>
      <c r="E190" s="121">
        <v>43988</v>
      </c>
      <c r="G190" s="5">
        <v>43804</v>
      </c>
      <c r="K190" s="5"/>
    </row>
    <row r="191" spans="1:11" x14ac:dyDescent="0.25">
      <c r="A191" s="121">
        <v>44362</v>
      </c>
      <c r="E191" s="121">
        <v>43989</v>
      </c>
      <c r="G191" s="5">
        <v>43805</v>
      </c>
      <c r="K191" s="5"/>
    </row>
    <row r="192" spans="1:11" x14ac:dyDescent="0.25">
      <c r="A192" s="121">
        <v>44363</v>
      </c>
      <c r="E192" s="121">
        <v>43990</v>
      </c>
      <c r="G192" s="5">
        <v>43806</v>
      </c>
      <c r="K192" s="5"/>
    </row>
    <row r="193" spans="1:11" x14ac:dyDescent="0.25">
      <c r="A193" s="121">
        <v>44364</v>
      </c>
      <c r="E193" s="121">
        <v>43991</v>
      </c>
      <c r="G193" s="5">
        <v>43807</v>
      </c>
      <c r="K193" s="5"/>
    </row>
    <row r="194" spans="1:11" x14ac:dyDescent="0.25">
      <c r="A194" s="121">
        <v>44365</v>
      </c>
      <c r="E194" s="121">
        <v>43992</v>
      </c>
      <c r="G194" s="5">
        <v>43808</v>
      </c>
      <c r="K194" s="5"/>
    </row>
    <row r="195" spans="1:11" x14ac:dyDescent="0.25">
      <c r="A195" s="121">
        <v>44366</v>
      </c>
      <c r="E195" s="121">
        <v>43993</v>
      </c>
      <c r="G195" s="5">
        <v>43809</v>
      </c>
      <c r="K195" s="5"/>
    </row>
    <row r="196" spans="1:11" x14ac:dyDescent="0.25">
      <c r="A196" s="121">
        <v>44367</v>
      </c>
      <c r="E196" s="121">
        <v>43994</v>
      </c>
      <c r="G196" s="5">
        <v>43810</v>
      </c>
      <c r="K196" s="5"/>
    </row>
    <row r="197" spans="1:11" x14ac:dyDescent="0.25">
      <c r="A197" s="121">
        <v>44368</v>
      </c>
      <c r="E197" s="121">
        <v>43995</v>
      </c>
      <c r="G197" s="5">
        <v>43811</v>
      </c>
      <c r="K197" s="5"/>
    </row>
    <row r="198" spans="1:11" x14ac:dyDescent="0.25">
      <c r="A198" s="121">
        <v>44369</v>
      </c>
      <c r="E198" s="121">
        <v>43996</v>
      </c>
      <c r="G198" s="5">
        <v>43812</v>
      </c>
      <c r="K198" s="5"/>
    </row>
    <row r="199" spans="1:11" x14ac:dyDescent="0.25">
      <c r="A199" s="121">
        <v>44370</v>
      </c>
      <c r="E199" s="121">
        <v>43997</v>
      </c>
      <c r="G199" s="5">
        <v>43813</v>
      </c>
      <c r="K199" s="5"/>
    </row>
    <row r="200" spans="1:11" x14ac:dyDescent="0.25">
      <c r="A200" s="121">
        <v>44371</v>
      </c>
      <c r="E200" s="121">
        <v>43998</v>
      </c>
      <c r="G200" s="5">
        <v>43814</v>
      </c>
      <c r="K200" s="5"/>
    </row>
    <row r="201" spans="1:11" x14ac:dyDescent="0.25">
      <c r="A201" s="121">
        <v>44372</v>
      </c>
      <c r="E201" s="121">
        <v>43999</v>
      </c>
      <c r="G201" s="5">
        <v>43815</v>
      </c>
      <c r="K201" s="5"/>
    </row>
    <row r="202" spans="1:11" x14ac:dyDescent="0.25">
      <c r="A202" s="121">
        <v>44373</v>
      </c>
      <c r="E202" s="121">
        <v>44000</v>
      </c>
      <c r="G202" s="5">
        <v>43816</v>
      </c>
      <c r="K202" s="5"/>
    </row>
    <row r="203" spans="1:11" x14ac:dyDescent="0.25">
      <c r="A203" s="121">
        <v>44374</v>
      </c>
      <c r="E203" s="121">
        <v>44001</v>
      </c>
      <c r="G203" s="5">
        <v>43817</v>
      </c>
      <c r="K203" s="5"/>
    </row>
    <row r="204" spans="1:11" x14ac:dyDescent="0.25">
      <c r="A204" s="121">
        <v>44375</v>
      </c>
      <c r="E204" s="121">
        <v>44002</v>
      </c>
      <c r="G204" s="5">
        <v>43818</v>
      </c>
      <c r="K204" s="5"/>
    </row>
    <row r="205" spans="1:11" x14ac:dyDescent="0.25">
      <c r="A205" s="121">
        <v>44376</v>
      </c>
      <c r="E205" s="121">
        <v>44003</v>
      </c>
      <c r="G205" s="5">
        <v>43819</v>
      </c>
      <c r="K205" s="5"/>
    </row>
    <row r="206" spans="1:11" x14ac:dyDescent="0.25">
      <c r="A206" s="121">
        <v>44377</v>
      </c>
      <c r="E206" s="121">
        <v>44004</v>
      </c>
      <c r="G206" s="5">
        <v>43820</v>
      </c>
      <c r="K206" s="5"/>
    </row>
    <row r="207" spans="1:11" x14ac:dyDescent="0.25">
      <c r="E207" s="121">
        <v>44005</v>
      </c>
      <c r="G207" s="5">
        <v>43821</v>
      </c>
      <c r="K207" s="5"/>
    </row>
    <row r="208" spans="1:11" x14ac:dyDescent="0.25">
      <c r="E208" s="121">
        <v>44006</v>
      </c>
      <c r="G208" s="5">
        <v>43822</v>
      </c>
      <c r="K208" s="5"/>
    </row>
    <row r="209" spans="5:11" x14ac:dyDescent="0.25">
      <c r="E209" s="121">
        <v>44007</v>
      </c>
      <c r="G209" s="5">
        <v>43823</v>
      </c>
      <c r="K209" s="5"/>
    </row>
    <row r="210" spans="5:11" x14ac:dyDescent="0.25">
      <c r="E210" s="121">
        <v>44008</v>
      </c>
      <c r="G210" s="5">
        <v>43824</v>
      </c>
      <c r="K210" s="5"/>
    </row>
    <row r="211" spans="5:11" x14ac:dyDescent="0.25">
      <c r="E211" s="121">
        <v>44009</v>
      </c>
      <c r="G211" s="5">
        <v>43825</v>
      </c>
      <c r="K211" s="5"/>
    </row>
    <row r="212" spans="5:11" x14ac:dyDescent="0.25">
      <c r="E212" s="121">
        <v>44010</v>
      </c>
      <c r="G212" s="5">
        <v>43826</v>
      </c>
      <c r="K212" s="5"/>
    </row>
    <row r="213" spans="5:11" x14ac:dyDescent="0.25">
      <c r="E213" s="121">
        <v>44011</v>
      </c>
      <c r="G213" s="5">
        <v>43827</v>
      </c>
      <c r="K213" s="5"/>
    </row>
    <row r="214" spans="5:11" x14ac:dyDescent="0.25">
      <c r="E214" s="121">
        <v>44012</v>
      </c>
      <c r="G214" s="5">
        <v>43828</v>
      </c>
      <c r="K214" s="5"/>
    </row>
    <row r="215" spans="5:11" x14ac:dyDescent="0.25">
      <c r="E215" s="121">
        <v>44013</v>
      </c>
      <c r="G215" s="5">
        <v>43829</v>
      </c>
      <c r="K215" s="5"/>
    </row>
    <row r="216" spans="5:11" x14ac:dyDescent="0.25">
      <c r="E216" s="121">
        <v>44014</v>
      </c>
      <c r="G216" s="5">
        <v>43830</v>
      </c>
      <c r="K216" s="5"/>
    </row>
    <row r="217" spans="5:11" x14ac:dyDescent="0.25">
      <c r="E217" s="121">
        <v>44015</v>
      </c>
      <c r="G217" s="5">
        <v>43831</v>
      </c>
      <c r="K217" s="5"/>
    </row>
    <row r="218" spans="5:11" x14ac:dyDescent="0.25">
      <c r="E218" s="121">
        <v>44016</v>
      </c>
      <c r="G218" s="5">
        <v>43832</v>
      </c>
      <c r="K218" s="5"/>
    </row>
    <row r="219" spans="5:11" x14ac:dyDescent="0.25">
      <c r="E219" s="121">
        <v>44017</v>
      </c>
      <c r="G219" s="5">
        <v>43833</v>
      </c>
      <c r="K219" s="5"/>
    </row>
    <row r="220" spans="5:11" x14ac:dyDescent="0.25">
      <c r="E220" s="121">
        <v>44018</v>
      </c>
      <c r="G220" s="5">
        <v>43834</v>
      </c>
      <c r="K220" s="5"/>
    </row>
    <row r="221" spans="5:11" x14ac:dyDescent="0.25">
      <c r="E221" s="121">
        <v>44019</v>
      </c>
      <c r="G221" s="5">
        <v>43835</v>
      </c>
      <c r="K221" s="5"/>
    </row>
    <row r="222" spans="5:11" x14ac:dyDescent="0.25">
      <c r="E222" s="121">
        <v>44020</v>
      </c>
      <c r="G222" s="5">
        <v>43836</v>
      </c>
      <c r="K222" s="5"/>
    </row>
    <row r="223" spans="5:11" x14ac:dyDescent="0.25">
      <c r="E223" s="121">
        <v>44021</v>
      </c>
      <c r="G223" s="5">
        <v>43837</v>
      </c>
      <c r="K223" s="5"/>
    </row>
    <row r="224" spans="5:11" x14ac:dyDescent="0.25">
      <c r="E224" s="121">
        <v>44022</v>
      </c>
      <c r="G224" s="5">
        <v>43838</v>
      </c>
      <c r="K224" s="5"/>
    </row>
    <row r="225" spans="5:11" x14ac:dyDescent="0.25">
      <c r="E225" s="121">
        <v>44023</v>
      </c>
      <c r="G225" s="5">
        <v>43839</v>
      </c>
      <c r="K225" s="5"/>
    </row>
    <row r="226" spans="5:11" x14ac:dyDescent="0.25">
      <c r="E226" s="121">
        <v>44024</v>
      </c>
      <c r="G226" s="5">
        <v>43840</v>
      </c>
      <c r="K226" s="5"/>
    </row>
    <row r="227" spans="5:11" x14ac:dyDescent="0.25">
      <c r="E227" s="121">
        <v>44025</v>
      </c>
      <c r="G227" s="5">
        <v>43841</v>
      </c>
      <c r="K227" s="5"/>
    </row>
    <row r="228" spans="5:11" x14ac:dyDescent="0.25">
      <c r="E228" s="121">
        <v>44026</v>
      </c>
      <c r="G228" s="5">
        <v>43842</v>
      </c>
      <c r="K228" s="5"/>
    </row>
    <row r="229" spans="5:11" x14ac:dyDescent="0.25">
      <c r="E229" s="121">
        <v>44027</v>
      </c>
      <c r="G229" s="5">
        <v>43843</v>
      </c>
      <c r="K229" s="5"/>
    </row>
    <row r="230" spans="5:11" x14ac:dyDescent="0.25">
      <c r="E230" s="121">
        <v>44028</v>
      </c>
      <c r="G230" s="5">
        <v>43844</v>
      </c>
      <c r="K230" s="5"/>
    </row>
    <row r="231" spans="5:11" x14ac:dyDescent="0.25">
      <c r="E231" s="121">
        <v>44029</v>
      </c>
      <c r="G231" s="5">
        <v>43845</v>
      </c>
      <c r="K231" s="5"/>
    </row>
    <row r="232" spans="5:11" x14ac:dyDescent="0.25">
      <c r="E232" s="121">
        <v>44030</v>
      </c>
      <c r="G232" s="5">
        <v>43846</v>
      </c>
      <c r="K232" s="5"/>
    </row>
    <row r="233" spans="5:11" x14ac:dyDescent="0.25">
      <c r="E233" s="121">
        <v>44031</v>
      </c>
      <c r="G233" s="5">
        <v>43847</v>
      </c>
      <c r="K233" s="5"/>
    </row>
    <row r="234" spans="5:11" x14ac:dyDescent="0.25">
      <c r="E234" s="121">
        <v>44032</v>
      </c>
      <c r="G234" s="5">
        <v>43848</v>
      </c>
      <c r="K234" s="5"/>
    </row>
    <row r="235" spans="5:11" x14ac:dyDescent="0.25">
      <c r="E235" s="121">
        <v>44033</v>
      </c>
      <c r="G235" s="5">
        <v>43849</v>
      </c>
      <c r="K235" s="5"/>
    </row>
    <row r="236" spans="5:11" x14ac:dyDescent="0.25">
      <c r="E236" s="121">
        <v>44034</v>
      </c>
      <c r="G236" s="5">
        <v>43850</v>
      </c>
      <c r="K236" s="5"/>
    </row>
    <row r="237" spans="5:11" x14ac:dyDescent="0.25">
      <c r="E237" s="121">
        <v>44035</v>
      </c>
      <c r="G237" s="5">
        <v>43851</v>
      </c>
      <c r="K237" s="5"/>
    </row>
    <row r="238" spans="5:11" x14ac:dyDescent="0.25">
      <c r="E238" s="121">
        <v>44036</v>
      </c>
      <c r="G238" s="5">
        <v>43852</v>
      </c>
      <c r="K238" s="5"/>
    </row>
    <row r="239" spans="5:11" x14ac:dyDescent="0.25">
      <c r="E239" s="121">
        <v>44037</v>
      </c>
      <c r="G239" s="5">
        <v>43853</v>
      </c>
      <c r="K239" s="5"/>
    </row>
    <row r="240" spans="5:11" x14ac:dyDescent="0.25">
      <c r="E240" s="121">
        <v>44038</v>
      </c>
      <c r="G240" s="5">
        <v>43854</v>
      </c>
      <c r="K240" s="5"/>
    </row>
    <row r="241" spans="5:11" x14ac:dyDescent="0.25">
      <c r="E241" s="121">
        <v>44039</v>
      </c>
      <c r="G241" s="5">
        <v>43855</v>
      </c>
      <c r="K241" s="5"/>
    </row>
    <row r="242" spans="5:11" x14ac:dyDescent="0.25">
      <c r="E242" s="121">
        <v>44040</v>
      </c>
      <c r="G242" s="5">
        <v>43856</v>
      </c>
      <c r="K242" s="5"/>
    </row>
    <row r="243" spans="5:11" x14ac:dyDescent="0.25">
      <c r="E243" s="121">
        <v>44041</v>
      </c>
      <c r="G243" s="5">
        <v>43857</v>
      </c>
      <c r="K243" s="5"/>
    </row>
    <row r="244" spans="5:11" x14ac:dyDescent="0.25">
      <c r="E244" s="121">
        <v>44042</v>
      </c>
      <c r="G244" s="5">
        <v>43858</v>
      </c>
      <c r="K244" s="5"/>
    </row>
    <row r="245" spans="5:11" x14ac:dyDescent="0.25">
      <c r="E245" s="121">
        <v>44043</v>
      </c>
      <c r="G245" s="5">
        <v>43859</v>
      </c>
      <c r="K245" s="5"/>
    </row>
    <row r="246" spans="5:11" x14ac:dyDescent="0.25">
      <c r="E246" s="121">
        <v>44044</v>
      </c>
      <c r="G246" s="5">
        <v>43860</v>
      </c>
      <c r="K246" s="5"/>
    </row>
    <row r="247" spans="5:11" x14ac:dyDescent="0.25">
      <c r="E247" s="121">
        <v>44045</v>
      </c>
      <c r="G247" s="5">
        <v>43861</v>
      </c>
      <c r="K247" s="5"/>
    </row>
    <row r="248" spans="5:11" x14ac:dyDescent="0.25">
      <c r="E248" s="121">
        <v>44046</v>
      </c>
      <c r="G248" s="5">
        <v>43862</v>
      </c>
      <c r="K248" s="5"/>
    </row>
    <row r="249" spans="5:11" x14ac:dyDescent="0.25">
      <c r="E249" s="121">
        <v>44047</v>
      </c>
      <c r="G249" s="5">
        <v>43863</v>
      </c>
      <c r="K249" s="5"/>
    </row>
    <row r="250" spans="5:11" x14ac:dyDescent="0.25">
      <c r="E250" s="121">
        <v>44048</v>
      </c>
      <c r="G250" s="5">
        <v>43864</v>
      </c>
      <c r="K250" s="5"/>
    </row>
    <row r="251" spans="5:11" x14ac:dyDescent="0.25">
      <c r="E251" s="121">
        <v>44049</v>
      </c>
      <c r="G251" s="5">
        <v>43865</v>
      </c>
      <c r="K251" s="5"/>
    </row>
    <row r="252" spans="5:11" x14ac:dyDescent="0.25">
      <c r="E252" s="121">
        <v>44050</v>
      </c>
      <c r="G252" s="5">
        <v>43866</v>
      </c>
      <c r="K252" s="5"/>
    </row>
    <row r="253" spans="5:11" x14ac:dyDescent="0.25">
      <c r="E253" s="121">
        <v>44051</v>
      </c>
      <c r="G253" s="5">
        <v>43867</v>
      </c>
      <c r="K253" s="5"/>
    </row>
    <row r="254" spans="5:11" x14ac:dyDescent="0.25">
      <c r="E254" s="121">
        <v>44052</v>
      </c>
      <c r="G254" s="5">
        <v>43868</v>
      </c>
      <c r="K254" s="5"/>
    </row>
    <row r="255" spans="5:11" x14ac:dyDescent="0.25">
      <c r="E255" s="121">
        <v>44053</v>
      </c>
      <c r="G255" s="5">
        <v>43869</v>
      </c>
      <c r="K255" s="5"/>
    </row>
    <row r="256" spans="5:11" x14ac:dyDescent="0.25">
      <c r="E256" s="121">
        <v>44054</v>
      </c>
      <c r="G256" s="5">
        <v>43870</v>
      </c>
      <c r="K256" s="5"/>
    </row>
    <row r="257" spans="5:11" x14ac:dyDescent="0.25">
      <c r="E257" s="121">
        <v>44055</v>
      </c>
      <c r="G257" s="5">
        <v>43871</v>
      </c>
      <c r="K257" s="5"/>
    </row>
    <row r="258" spans="5:11" x14ac:dyDescent="0.25">
      <c r="E258" s="121">
        <v>44056</v>
      </c>
      <c r="G258" s="5">
        <v>43872</v>
      </c>
      <c r="K258" s="5"/>
    </row>
    <row r="259" spans="5:11" x14ac:dyDescent="0.25">
      <c r="E259" s="121">
        <v>44057</v>
      </c>
      <c r="G259" s="5">
        <v>43873</v>
      </c>
      <c r="K259" s="5"/>
    </row>
    <row r="260" spans="5:11" x14ac:dyDescent="0.25">
      <c r="E260" s="121">
        <v>44058</v>
      </c>
      <c r="G260" s="5">
        <v>43874</v>
      </c>
      <c r="K260" s="5"/>
    </row>
    <row r="261" spans="5:11" x14ac:dyDescent="0.25">
      <c r="E261" s="121">
        <v>44059</v>
      </c>
      <c r="G261" s="5">
        <v>43875</v>
      </c>
      <c r="K261" s="5"/>
    </row>
    <row r="262" spans="5:11" x14ac:dyDescent="0.25">
      <c r="E262" s="121">
        <v>44060</v>
      </c>
      <c r="G262" s="5">
        <v>43876</v>
      </c>
      <c r="K262" s="5"/>
    </row>
    <row r="263" spans="5:11" x14ac:dyDescent="0.25">
      <c r="E263" s="121">
        <v>44061</v>
      </c>
      <c r="G263" s="5">
        <v>43877</v>
      </c>
      <c r="K263" s="5"/>
    </row>
    <row r="264" spans="5:11" x14ac:dyDescent="0.25">
      <c r="E264" s="121">
        <v>44062</v>
      </c>
      <c r="G264" s="5">
        <v>43878</v>
      </c>
      <c r="K264" s="5"/>
    </row>
    <row r="265" spans="5:11" x14ac:dyDescent="0.25">
      <c r="E265" s="121">
        <v>44063</v>
      </c>
      <c r="G265" s="5">
        <v>43879</v>
      </c>
      <c r="K265" s="5"/>
    </row>
    <row r="266" spans="5:11" x14ac:dyDescent="0.25">
      <c r="E266" s="121">
        <v>44064</v>
      </c>
      <c r="G266" s="5">
        <v>43880</v>
      </c>
      <c r="K266" s="5"/>
    </row>
    <row r="267" spans="5:11" x14ac:dyDescent="0.25">
      <c r="E267" s="121">
        <v>44065</v>
      </c>
      <c r="G267" s="5">
        <v>43881</v>
      </c>
      <c r="K267" s="5"/>
    </row>
    <row r="268" spans="5:11" x14ac:dyDescent="0.25">
      <c r="E268" s="121">
        <v>44066</v>
      </c>
      <c r="G268" s="5">
        <v>43882</v>
      </c>
      <c r="K268" s="5"/>
    </row>
    <row r="269" spans="5:11" x14ac:dyDescent="0.25">
      <c r="E269" s="121">
        <v>44067</v>
      </c>
      <c r="G269" s="5">
        <v>43883</v>
      </c>
      <c r="K269" s="5"/>
    </row>
    <row r="270" spans="5:11" x14ac:dyDescent="0.25">
      <c r="E270" s="121">
        <v>44068</v>
      </c>
      <c r="G270" s="5">
        <v>43884</v>
      </c>
      <c r="K270" s="5"/>
    </row>
    <row r="271" spans="5:11" x14ac:dyDescent="0.25">
      <c r="E271" s="121">
        <v>44069</v>
      </c>
      <c r="G271" s="5">
        <v>43885</v>
      </c>
      <c r="K271" s="5"/>
    </row>
    <row r="272" spans="5:11" x14ac:dyDescent="0.25">
      <c r="E272" s="121">
        <v>44070</v>
      </c>
      <c r="G272" s="5">
        <v>43886</v>
      </c>
      <c r="K272" s="5"/>
    </row>
    <row r="273" spans="5:11" x14ac:dyDescent="0.25">
      <c r="E273" s="121">
        <v>44071</v>
      </c>
      <c r="G273" s="5">
        <v>43887</v>
      </c>
      <c r="K273" s="5"/>
    </row>
    <row r="274" spans="5:11" x14ac:dyDescent="0.25">
      <c r="E274" s="121">
        <v>44072</v>
      </c>
      <c r="G274" s="5">
        <v>43888</v>
      </c>
      <c r="K274" s="5"/>
    </row>
    <row r="275" spans="5:11" x14ac:dyDescent="0.25">
      <c r="E275" s="121">
        <v>44073</v>
      </c>
      <c r="G275" s="5">
        <v>43889</v>
      </c>
      <c r="K275" s="5"/>
    </row>
    <row r="276" spans="5:11" x14ac:dyDescent="0.25">
      <c r="E276" s="121">
        <v>44074</v>
      </c>
      <c r="G276" s="5">
        <v>43890</v>
      </c>
      <c r="K276" s="5"/>
    </row>
    <row r="277" spans="5:11" x14ac:dyDescent="0.25">
      <c r="E277" s="121">
        <v>44075</v>
      </c>
      <c r="G277" s="5">
        <v>43891</v>
      </c>
      <c r="K277" s="5"/>
    </row>
    <row r="278" spans="5:11" x14ac:dyDescent="0.25">
      <c r="E278" s="121">
        <v>44076</v>
      </c>
      <c r="G278" s="5">
        <v>43892</v>
      </c>
      <c r="K278" s="5"/>
    </row>
    <row r="279" spans="5:11" x14ac:dyDescent="0.25">
      <c r="E279" s="121">
        <v>44077</v>
      </c>
      <c r="G279" s="5">
        <v>43893</v>
      </c>
      <c r="K279" s="5"/>
    </row>
    <row r="280" spans="5:11" x14ac:dyDescent="0.25">
      <c r="E280" s="121">
        <v>44078</v>
      </c>
      <c r="G280" s="5">
        <v>43894</v>
      </c>
      <c r="K280" s="5"/>
    </row>
    <row r="281" spans="5:11" x14ac:dyDescent="0.25">
      <c r="E281" s="121">
        <v>44079</v>
      </c>
      <c r="G281" s="5">
        <v>43895</v>
      </c>
      <c r="K281" s="5"/>
    </row>
    <row r="282" spans="5:11" x14ac:dyDescent="0.25">
      <c r="E282" s="121">
        <v>44080</v>
      </c>
      <c r="G282" s="5">
        <v>43896</v>
      </c>
      <c r="K282" s="5"/>
    </row>
    <row r="283" spans="5:11" x14ac:dyDescent="0.25">
      <c r="E283" s="121">
        <v>44081</v>
      </c>
      <c r="G283" s="5">
        <v>43897</v>
      </c>
      <c r="K283" s="5"/>
    </row>
    <row r="284" spans="5:11" x14ac:dyDescent="0.25">
      <c r="E284" s="121">
        <v>44082</v>
      </c>
      <c r="G284" s="5">
        <v>43898</v>
      </c>
      <c r="K284" s="5"/>
    </row>
    <row r="285" spans="5:11" x14ac:dyDescent="0.25">
      <c r="E285" s="121">
        <v>44083</v>
      </c>
      <c r="G285" s="5">
        <v>43899</v>
      </c>
      <c r="K285" s="5"/>
    </row>
    <row r="286" spans="5:11" x14ac:dyDescent="0.25">
      <c r="E286" s="121">
        <v>44084</v>
      </c>
      <c r="G286" s="5">
        <v>43900</v>
      </c>
      <c r="K286" s="5"/>
    </row>
    <row r="287" spans="5:11" x14ac:dyDescent="0.25">
      <c r="E287" s="121">
        <v>44085</v>
      </c>
      <c r="G287" s="5">
        <v>43901</v>
      </c>
      <c r="K287" s="5"/>
    </row>
    <row r="288" spans="5:11" x14ac:dyDescent="0.25">
      <c r="E288" s="121">
        <v>44086</v>
      </c>
      <c r="G288" s="5">
        <v>43902</v>
      </c>
      <c r="K288" s="5"/>
    </row>
    <row r="289" spans="5:11" x14ac:dyDescent="0.25">
      <c r="E289" s="121">
        <v>44087</v>
      </c>
      <c r="G289" s="5">
        <v>43903</v>
      </c>
      <c r="K289" s="5"/>
    </row>
    <row r="290" spans="5:11" x14ac:dyDescent="0.25">
      <c r="E290" s="121">
        <v>44088</v>
      </c>
      <c r="G290" s="5">
        <v>43904</v>
      </c>
      <c r="K290" s="5"/>
    </row>
    <row r="291" spans="5:11" x14ac:dyDescent="0.25">
      <c r="E291" s="121">
        <v>44089</v>
      </c>
      <c r="G291" s="5">
        <v>43905</v>
      </c>
      <c r="K291" s="5"/>
    </row>
    <row r="292" spans="5:11" x14ac:dyDescent="0.25">
      <c r="E292" s="121">
        <v>44090</v>
      </c>
      <c r="G292" s="5">
        <v>43906</v>
      </c>
    </row>
    <row r="293" spans="5:11" x14ac:dyDescent="0.25">
      <c r="E293" s="121">
        <v>44091</v>
      </c>
      <c r="G293" s="5">
        <v>43907</v>
      </c>
    </row>
    <row r="294" spans="5:11" x14ac:dyDescent="0.25">
      <c r="E294" s="121">
        <v>44092</v>
      </c>
      <c r="G294" s="5">
        <v>43908</v>
      </c>
    </row>
    <row r="295" spans="5:11" x14ac:dyDescent="0.25">
      <c r="E295" s="121">
        <v>44093</v>
      </c>
      <c r="G295" s="5">
        <v>43909</v>
      </c>
    </row>
    <row r="296" spans="5:11" x14ac:dyDescent="0.25">
      <c r="E296" s="121">
        <v>44094</v>
      </c>
      <c r="G296" s="5">
        <v>43910</v>
      </c>
    </row>
    <row r="297" spans="5:11" x14ac:dyDescent="0.25">
      <c r="E297" s="121">
        <v>44095</v>
      </c>
      <c r="G297" s="5">
        <v>43911</v>
      </c>
    </row>
    <row r="298" spans="5:11" x14ac:dyDescent="0.25">
      <c r="E298" s="121">
        <v>44096</v>
      </c>
      <c r="G298" s="5">
        <v>43912</v>
      </c>
    </row>
    <row r="299" spans="5:11" x14ac:dyDescent="0.25">
      <c r="E299" s="121">
        <v>44097</v>
      </c>
      <c r="G299" s="5">
        <v>43913</v>
      </c>
    </row>
    <row r="300" spans="5:11" x14ac:dyDescent="0.25">
      <c r="E300" s="121">
        <v>44098</v>
      </c>
      <c r="G300" s="5">
        <v>43914</v>
      </c>
    </row>
    <row r="301" spans="5:11" x14ac:dyDescent="0.25">
      <c r="E301" s="121">
        <v>44099</v>
      </c>
      <c r="G301" s="5">
        <v>43915</v>
      </c>
    </row>
    <row r="302" spans="5:11" x14ac:dyDescent="0.25">
      <c r="E302" s="121">
        <v>44100</v>
      </c>
      <c r="G302" s="5">
        <v>43916</v>
      </c>
    </row>
    <row r="303" spans="5:11" x14ac:dyDescent="0.25">
      <c r="E303" s="121">
        <v>44101</v>
      </c>
      <c r="G303" s="5">
        <v>43917</v>
      </c>
    </row>
    <row r="304" spans="5:11" x14ac:dyDescent="0.25">
      <c r="E304" s="121">
        <v>44102</v>
      </c>
      <c r="G304" s="5">
        <v>43918</v>
      </c>
    </row>
    <row r="305" spans="5:7" x14ac:dyDescent="0.25">
      <c r="E305" s="121">
        <v>44103</v>
      </c>
      <c r="G305" s="5">
        <v>43919</v>
      </c>
    </row>
    <row r="306" spans="5:7" x14ac:dyDescent="0.25">
      <c r="E306" s="121">
        <v>44104</v>
      </c>
      <c r="G306" s="5">
        <v>43920</v>
      </c>
    </row>
    <row r="307" spans="5:7" x14ac:dyDescent="0.25">
      <c r="E307" s="121">
        <v>44105</v>
      </c>
      <c r="G307" s="5">
        <v>43921</v>
      </c>
    </row>
    <row r="308" spans="5:7" x14ac:dyDescent="0.25">
      <c r="E308" s="121">
        <v>44106</v>
      </c>
      <c r="G308" s="5">
        <v>43922</v>
      </c>
    </row>
    <row r="309" spans="5:7" x14ac:dyDescent="0.25">
      <c r="E309" s="121">
        <v>44107</v>
      </c>
      <c r="G309" s="5">
        <v>43923</v>
      </c>
    </row>
    <row r="310" spans="5:7" x14ac:dyDescent="0.25">
      <c r="E310" s="121">
        <v>44108</v>
      </c>
      <c r="G310" s="5">
        <v>43924</v>
      </c>
    </row>
    <row r="311" spans="5:7" x14ac:dyDescent="0.25">
      <c r="E311" s="121">
        <v>44109</v>
      </c>
      <c r="G311" s="5">
        <v>43925</v>
      </c>
    </row>
    <row r="312" spans="5:7" x14ac:dyDescent="0.25">
      <c r="E312" s="121">
        <v>44110</v>
      </c>
      <c r="G312" s="5">
        <v>43926</v>
      </c>
    </row>
    <row r="313" spans="5:7" x14ac:dyDescent="0.25">
      <c r="E313" s="121">
        <v>44111</v>
      </c>
      <c r="G313" s="5">
        <v>43927</v>
      </c>
    </row>
    <row r="314" spans="5:7" x14ac:dyDescent="0.25">
      <c r="E314" s="121">
        <v>44112</v>
      </c>
      <c r="G314" s="5">
        <v>43928</v>
      </c>
    </row>
    <row r="315" spans="5:7" x14ac:dyDescent="0.25">
      <c r="E315" s="121">
        <v>44113</v>
      </c>
      <c r="G315" s="5">
        <v>43929</v>
      </c>
    </row>
    <row r="316" spans="5:7" x14ac:dyDescent="0.25">
      <c r="E316" s="121">
        <v>44114</v>
      </c>
      <c r="G316" s="5">
        <v>43930</v>
      </c>
    </row>
    <row r="317" spans="5:7" x14ac:dyDescent="0.25">
      <c r="E317" s="121">
        <v>44115</v>
      </c>
      <c r="G317" s="5">
        <v>43931</v>
      </c>
    </row>
    <row r="318" spans="5:7" x14ac:dyDescent="0.25">
      <c r="E318" s="121">
        <v>44116</v>
      </c>
      <c r="G318" s="5">
        <v>43932</v>
      </c>
    </row>
    <row r="319" spans="5:7" x14ac:dyDescent="0.25">
      <c r="E319" s="121">
        <v>44117</v>
      </c>
      <c r="G319" s="5">
        <v>43933</v>
      </c>
    </row>
    <row r="320" spans="5:7" x14ac:dyDescent="0.25">
      <c r="E320" s="121">
        <v>44118</v>
      </c>
      <c r="G320" s="5">
        <v>43934</v>
      </c>
    </row>
    <row r="321" spans="5:7" x14ac:dyDescent="0.25">
      <c r="E321" s="121">
        <v>44119</v>
      </c>
      <c r="G321" s="5">
        <v>43935</v>
      </c>
    </row>
    <row r="322" spans="5:7" x14ac:dyDescent="0.25">
      <c r="E322" s="121">
        <v>44120</v>
      </c>
      <c r="G322" s="5">
        <v>43936</v>
      </c>
    </row>
    <row r="323" spans="5:7" x14ac:dyDescent="0.25">
      <c r="E323" s="121">
        <v>44121</v>
      </c>
      <c r="G323" s="5">
        <v>43937</v>
      </c>
    </row>
    <row r="324" spans="5:7" x14ac:dyDescent="0.25">
      <c r="E324" s="121">
        <v>44122</v>
      </c>
      <c r="G324" s="5">
        <v>43938</v>
      </c>
    </row>
    <row r="325" spans="5:7" x14ac:dyDescent="0.25">
      <c r="E325" s="121">
        <v>44123</v>
      </c>
      <c r="G325" s="5">
        <v>43939</v>
      </c>
    </row>
    <row r="326" spans="5:7" x14ac:dyDescent="0.25">
      <c r="E326" s="121">
        <v>44124</v>
      </c>
      <c r="G326" s="5">
        <v>43940</v>
      </c>
    </row>
    <row r="327" spans="5:7" x14ac:dyDescent="0.25">
      <c r="E327" s="121">
        <v>44125</v>
      </c>
      <c r="G327" s="5">
        <v>43941</v>
      </c>
    </row>
    <row r="328" spans="5:7" x14ac:dyDescent="0.25">
      <c r="E328" s="121">
        <v>44126</v>
      </c>
      <c r="G328" s="5">
        <v>43942</v>
      </c>
    </row>
    <row r="329" spans="5:7" x14ac:dyDescent="0.25">
      <c r="E329" s="121">
        <v>44127</v>
      </c>
      <c r="G329" s="5">
        <v>43943</v>
      </c>
    </row>
    <row r="330" spans="5:7" x14ac:dyDescent="0.25">
      <c r="E330" s="121">
        <v>44128</v>
      </c>
      <c r="G330" s="5">
        <v>43944</v>
      </c>
    </row>
    <row r="331" spans="5:7" x14ac:dyDescent="0.25">
      <c r="E331" s="121">
        <v>44129</v>
      </c>
      <c r="G331" s="5">
        <v>43945</v>
      </c>
    </row>
    <row r="332" spans="5:7" x14ac:dyDescent="0.25">
      <c r="E332" s="121">
        <v>44130</v>
      </c>
      <c r="G332" s="5">
        <v>43946</v>
      </c>
    </row>
    <row r="333" spans="5:7" x14ac:dyDescent="0.25">
      <c r="E333" s="121">
        <v>44131</v>
      </c>
      <c r="G333" s="5">
        <v>43947</v>
      </c>
    </row>
    <row r="334" spans="5:7" x14ac:dyDescent="0.25">
      <c r="E334" s="121">
        <v>44132</v>
      </c>
      <c r="G334" s="5">
        <v>43948</v>
      </c>
    </row>
    <row r="335" spans="5:7" x14ac:dyDescent="0.25">
      <c r="E335" s="121">
        <v>44133</v>
      </c>
      <c r="G335" s="5">
        <v>43949</v>
      </c>
    </row>
    <row r="336" spans="5:7" x14ac:dyDescent="0.25">
      <c r="E336" s="121">
        <v>44134</v>
      </c>
      <c r="G336" s="5">
        <v>43950</v>
      </c>
    </row>
    <row r="337" spans="5:7" x14ac:dyDescent="0.25">
      <c r="E337" s="121">
        <v>44135</v>
      </c>
      <c r="G337" s="5">
        <v>43951</v>
      </c>
    </row>
    <row r="338" spans="5:7" x14ac:dyDescent="0.25">
      <c r="E338" s="121">
        <v>44136</v>
      </c>
      <c r="G338" s="5">
        <v>43952</v>
      </c>
    </row>
    <row r="339" spans="5:7" x14ac:dyDescent="0.25">
      <c r="E339" s="121">
        <v>44137</v>
      </c>
      <c r="G339" s="5">
        <v>43953</v>
      </c>
    </row>
    <row r="340" spans="5:7" x14ac:dyDescent="0.25">
      <c r="E340" s="121">
        <v>44138</v>
      </c>
      <c r="G340" s="5">
        <v>43954</v>
      </c>
    </row>
    <row r="341" spans="5:7" x14ac:dyDescent="0.25">
      <c r="E341" s="121">
        <v>44139</v>
      </c>
      <c r="G341" s="5">
        <v>43955</v>
      </c>
    </row>
    <row r="342" spans="5:7" x14ac:dyDescent="0.25">
      <c r="E342" s="121">
        <v>44140</v>
      </c>
      <c r="G342" s="5">
        <v>43956</v>
      </c>
    </row>
    <row r="343" spans="5:7" x14ac:dyDescent="0.25">
      <c r="E343" s="121">
        <v>44141</v>
      </c>
      <c r="G343" s="5">
        <v>43957</v>
      </c>
    </row>
    <row r="344" spans="5:7" x14ac:dyDescent="0.25">
      <c r="E344" s="121">
        <v>44142</v>
      </c>
      <c r="G344" s="5">
        <v>43958</v>
      </c>
    </row>
    <row r="345" spans="5:7" x14ac:dyDescent="0.25">
      <c r="E345" s="121">
        <v>44143</v>
      </c>
      <c r="G345" s="5">
        <v>43959</v>
      </c>
    </row>
    <row r="346" spans="5:7" x14ac:dyDescent="0.25">
      <c r="E346" s="121">
        <v>44144</v>
      </c>
      <c r="G346" s="5">
        <v>43960</v>
      </c>
    </row>
    <row r="347" spans="5:7" x14ac:dyDescent="0.25">
      <c r="E347" s="121">
        <v>44145</v>
      </c>
      <c r="G347" s="5">
        <v>43961</v>
      </c>
    </row>
    <row r="348" spans="5:7" x14ac:dyDescent="0.25">
      <c r="E348" s="121">
        <v>44146</v>
      </c>
      <c r="G348" s="5">
        <v>43962</v>
      </c>
    </row>
    <row r="349" spans="5:7" x14ac:dyDescent="0.25">
      <c r="E349" s="121">
        <v>44147</v>
      </c>
      <c r="G349" s="5">
        <v>43963</v>
      </c>
    </row>
    <row r="350" spans="5:7" x14ac:dyDescent="0.25">
      <c r="E350" s="121">
        <v>44148</v>
      </c>
      <c r="G350" s="5">
        <v>43964</v>
      </c>
    </row>
    <row r="351" spans="5:7" x14ac:dyDescent="0.25">
      <c r="E351" s="121">
        <v>44149</v>
      </c>
      <c r="G351" s="5">
        <v>43965</v>
      </c>
    </row>
    <row r="352" spans="5:7" x14ac:dyDescent="0.25">
      <c r="E352" s="121">
        <v>44150</v>
      </c>
      <c r="G352" s="5">
        <v>43966</v>
      </c>
    </row>
    <row r="353" spans="5:7" x14ac:dyDescent="0.25">
      <c r="E353" s="121">
        <v>44151</v>
      </c>
      <c r="G353" s="5">
        <v>43967</v>
      </c>
    </row>
    <row r="354" spans="5:7" x14ac:dyDescent="0.25">
      <c r="E354" s="121">
        <v>44152</v>
      </c>
      <c r="G354" s="5">
        <v>43968</v>
      </c>
    </row>
    <row r="355" spans="5:7" x14ac:dyDescent="0.25">
      <c r="E355" s="121">
        <v>44153</v>
      </c>
      <c r="G355" s="5">
        <v>43969</v>
      </c>
    </row>
    <row r="356" spans="5:7" x14ac:dyDescent="0.25">
      <c r="E356" s="121">
        <v>44154</v>
      </c>
      <c r="G356" s="5">
        <v>43970</v>
      </c>
    </row>
    <row r="357" spans="5:7" x14ac:dyDescent="0.25">
      <c r="E357" s="121">
        <v>44155</v>
      </c>
      <c r="G357" s="5">
        <v>43971</v>
      </c>
    </row>
    <row r="358" spans="5:7" x14ac:dyDescent="0.25">
      <c r="E358" s="121">
        <v>44156</v>
      </c>
      <c r="G358" s="5">
        <v>43972</v>
      </c>
    </row>
    <row r="359" spans="5:7" x14ac:dyDescent="0.25">
      <c r="E359" s="121">
        <v>44157</v>
      </c>
      <c r="G359" s="5">
        <v>43973</v>
      </c>
    </row>
    <row r="360" spans="5:7" x14ac:dyDescent="0.25">
      <c r="E360" s="121">
        <v>44158</v>
      </c>
      <c r="G360" s="5">
        <v>43974</v>
      </c>
    </row>
    <row r="361" spans="5:7" x14ac:dyDescent="0.25">
      <c r="E361" s="121">
        <v>44159</v>
      </c>
      <c r="G361" s="5">
        <v>43975</v>
      </c>
    </row>
    <row r="362" spans="5:7" x14ac:dyDescent="0.25">
      <c r="E362" s="121">
        <v>44160</v>
      </c>
      <c r="G362" s="5">
        <v>43976</v>
      </c>
    </row>
    <row r="363" spans="5:7" x14ac:dyDescent="0.25">
      <c r="E363" s="121">
        <v>44161</v>
      </c>
      <c r="G363" s="5">
        <v>43977</v>
      </c>
    </row>
    <row r="364" spans="5:7" x14ac:dyDescent="0.25">
      <c r="E364" s="121">
        <v>44162</v>
      </c>
      <c r="G364" s="5">
        <v>43978</v>
      </c>
    </row>
    <row r="365" spans="5:7" x14ac:dyDescent="0.25">
      <c r="E365" s="121">
        <v>44163</v>
      </c>
      <c r="G365" s="5">
        <v>43979</v>
      </c>
    </row>
    <row r="366" spans="5:7" x14ac:dyDescent="0.25">
      <c r="E366" s="121">
        <v>44164</v>
      </c>
      <c r="G366" s="5">
        <v>43980</v>
      </c>
    </row>
    <row r="367" spans="5:7" x14ac:dyDescent="0.25">
      <c r="E367" s="121">
        <v>44165</v>
      </c>
      <c r="G367" s="5">
        <v>43981</v>
      </c>
    </row>
    <row r="368" spans="5:7" x14ac:dyDescent="0.25">
      <c r="G368" s="5">
        <v>43982</v>
      </c>
    </row>
    <row r="369" spans="7:7" x14ac:dyDescent="0.25">
      <c r="G369" s="5">
        <v>43983</v>
      </c>
    </row>
    <row r="370" spans="7:7" x14ac:dyDescent="0.25">
      <c r="G370" s="5">
        <v>43984</v>
      </c>
    </row>
    <row r="371" spans="7:7" x14ac:dyDescent="0.25">
      <c r="G371" s="5">
        <v>43985</v>
      </c>
    </row>
    <row r="372" spans="7:7" x14ac:dyDescent="0.25">
      <c r="G372" s="5">
        <v>43986</v>
      </c>
    </row>
    <row r="373" spans="7:7" x14ac:dyDescent="0.25">
      <c r="G373" s="5">
        <v>43987</v>
      </c>
    </row>
    <row r="374" spans="7:7" x14ac:dyDescent="0.25">
      <c r="G374" s="5">
        <v>43988</v>
      </c>
    </row>
    <row r="375" spans="7:7" x14ac:dyDescent="0.25">
      <c r="G375" s="5">
        <v>43989</v>
      </c>
    </row>
    <row r="376" spans="7:7" x14ac:dyDescent="0.25">
      <c r="G376" s="5">
        <v>43990</v>
      </c>
    </row>
    <row r="377" spans="7:7" x14ac:dyDescent="0.25">
      <c r="G377" s="5">
        <v>43991</v>
      </c>
    </row>
    <row r="378" spans="7:7" x14ac:dyDescent="0.25">
      <c r="G378" s="5">
        <v>43992</v>
      </c>
    </row>
    <row r="379" spans="7:7" x14ac:dyDescent="0.25">
      <c r="G379" s="5">
        <v>43993</v>
      </c>
    </row>
    <row r="380" spans="7:7" x14ac:dyDescent="0.25">
      <c r="G380" s="5">
        <v>43994</v>
      </c>
    </row>
    <row r="381" spans="7:7" x14ac:dyDescent="0.25">
      <c r="G381" s="5">
        <v>43995</v>
      </c>
    </row>
    <row r="382" spans="7:7" x14ac:dyDescent="0.25">
      <c r="G382" s="5">
        <v>43996</v>
      </c>
    </row>
    <row r="383" spans="7:7" x14ac:dyDescent="0.25">
      <c r="G383" s="5">
        <v>43997</v>
      </c>
    </row>
    <row r="384" spans="7:7" x14ac:dyDescent="0.25">
      <c r="G384" s="5">
        <v>43998</v>
      </c>
    </row>
    <row r="385" spans="7:7" x14ac:dyDescent="0.25">
      <c r="G385" s="5">
        <v>43999</v>
      </c>
    </row>
    <row r="386" spans="7:7" x14ac:dyDescent="0.25">
      <c r="G386" s="5">
        <v>44000</v>
      </c>
    </row>
    <row r="387" spans="7:7" x14ac:dyDescent="0.25">
      <c r="G387" s="5">
        <v>44001</v>
      </c>
    </row>
    <row r="388" spans="7:7" x14ac:dyDescent="0.25">
      <c r="G388" s="5">
        <v>44002</v>
      </c>
    </row>
    <row r="389" spans="7:7" x14ac:dyDescent="0.25">
      <c r="G389" s="5">
        <v>44003</v>
      </c>
    </row>
    <row r="390" spans="7:7" x14ac:dyDescent="0.25">
      <c r="G390" s="5">
        <v>44004</v>
      </c>
    </row>
    <row r="391" spans="7:7" x14ac:dyDescent="0.25">
      <c r="G391" s="5">
        <v>44005</v>
      </c>
    </row>
    <row r="392" spans="7:7" x14ac:dyDescent="0.25">
      <c r="G392" s="5">
        <v>44006</v>
      </c>
    </row>
    <row r="393" spans="7:7" x14ac:dyDescent="0.25">
      <c r="G393" s="5">
        <v>44007</v>
      </c>
    </row>
    <row r="394" spans="7:7" x14ac:dyDescent="0.25">
      <c r="G394" s="5">
        <v>44008</v>
      </c>
    </row>
    <row r="395" spans="7:7" x14ac:dyDescent="0.25">
      <c r="G395" s="5">
        <v>44009</v>
      </c>
    </row>
    <row r="396" spans="7:7" x14ac:dyDescent="0.25">
      <c r="G396" s="5">
        <v>44010</v>
      </c>
    </row>
    <row r="397" spans="7:7" x14ac:dyDescent="0.25">
      <c r="G397" s="5">
        <v>44011</v>
      </c>
    </row>
    <row r="398" spans="7:7" x14ac:dyDescent="0.25">
      <c r="G398" s="5">
        <v>44012</v>
      </c>
    </row>
    <row r="399" spans="7:7" x14ac:dyDescent="0.25">
      <c r="G399" s="5">
        <v>44013</v>
      </c>
    </row>
    <row r="400" spans="7:7" x14ac:dyDescent="0.25">
      <c r="G400" s="5">
        <v>44014</v>
      </c>
    </row>
    <row r="401" spans="7:7" x14ac:dyDescent="0.25">
      <c r="G401" s="5">
        <v>44015</v>
      </c>
    </row>
    <row r="402" spans="7:7" x14ac:dyDescent="0.25">
      <c r="G402" s="5">
        <v>44016</v>
      </c>
    </row>
    <row r="403" spans="7:7" x14ac:dyDescent="0.25">
      <c r="G403" s="5">
        <v>44017</v>
      </c>
    </row>
    <row r="404" spans="7:7" x14ac:dyDescent="0.25">
      <c r="G404" s="5">
        <v>44018</v>
      </c>
    </row>
    <row r="405" spans="7:7" x14ac:dyDescent="0.25">
      <c r="G405" s="5">
        <v>44019</v>
      </c>
    </row>
    <row r="406" spans="7:7" x14ac:dyDescent="0.25">
      <c r="G406" s="5">
        <v>44020</v>
      </c>
    </row>
    <row r="407" spans="7:7" x14ac:dyDescent="0.25">
      <c r="G407" s="5">
        <v>44021</v>
      </c>
    </row>
    <row r="408" spans="7:7" x14ac:dyDescent="0.25">
      <c r="G408" s="5">
        <v>44022</v>
      </c>
    </row>
    <row r="409" spans="7:7" x14ac:dyDescent="0.25">
      <c r="G409" s="5">
        <v>44023</v>
      </c>
    </row>
    <row r="410" spans="7:7" x14ac:dyDescent="0.25">
      <c r="G410" s="5">
        <v>44024</v>
      </c>
    </row>
    <row r="411" spans="7:7" x14ac:dyDescent="0.25">
      <c r="G411" s="5">
        <v>44025</v>
      </c>
    </row>
    <row r="412" spans="7:7" x14ac:dyDescent="0.25">
      <c r="G412" s="5">
        <v>44026</v>
      </c>
    </row>
    <row r="413" spans="7:7" x14ac:dyDescent="0.25">
      <c r="G413" s="5">
        <v>44027</v>
      </c>
    </row>
    <row r="414" spans="7:7" x14ac:dyDescent="0.25">
      <c r="G414" s="5">
        <v>44028</v>
      </c>
    </row>
    <row r="415" spans="7:7" x14ac:dyDescent="0.25">
      <c r="G415" s="5">
        <v>44029</v>
      </c>
    </row>
    <row r="416" spans="7:7" x14ac:dyDescent="0.25">
      <c r="G416" s="5">
        <v>44030</v>
      </c>
    </row>
    <row r="417" spans="7:7" x14ac:dyDescent="0.25">
      <c r="G417" s="5">
        <v>44031</v>
      </c>
    </row>
    <row r="418" spans="7:7" x14ac:dyDescent="0.25">
      <c r="G418" s="5">
        <v>44032</v>
      </c>
    </row>
    <row r="419" spans="7:7" x14ac:dyDescent="0.25">
      <c r="G419" s="5">
        <v>44033</v>
      </c>
    </row>
    <row r="420" spans="7:7" x14ac:dyDescent="0.25">
      <c r="G420" s="5">
        <v>44034</v>
      </c>
    </row>
    <row r="421" spans="7:7" x14ac:dyDescent="0.25">
      <c r="G421" s="5">
        <v>44035</v>
      </c>
    </row>
    <row r="422" spans="7:7" x14ac:dyDescent="0.25">
      <c r="G422" s="5">
        <v>44036</v>
      </c>
    </row>
    <row r="423" spans="7:7" x14ac:dyDescent="0.25">
      <c r="G423" s="5">
        <v>44037</v>
      </c>
    </row>
    <row r="424" spans="7:7" x14ac:dyDescent="0.25">
      <c r="G424" s="5">
        <v>44038</v>
      </c>
    </row>
    <row r="425" spans="7:7" x14ac:dyDescent="0.25">
      <c r="G425" s="5">
        <v>44039</v>
      </c>
    </row>
    <row r="426" spans="7:7" x14ac:dyDescent="0.25">
      <c r="G426" s="5">
        <v>44040</v>
      </c>
    </row>
    <row r="427" spans="7:7" x14ac:dyDescent="0.25">
      <c r="G427" s="5">
        <v>44041</v>
      </c>
    </row>
    <row r="428" spans="7:7" x14ac:dyDescent="0.25">
      <c r="G428" s="5">
        <v>44042</v>
      </c>
    </row>
    <row r="429" spans="7:7" x14ac:dyDescent="0.25">
      <c r="G429" s="5">
        <v>44043</v>
      </c>
    </row>
    <row r="430" spans="7:7" x14ac:dyDescent="0.25">
      <c r="G430" s="5">
        <v>44044</v>
      </c>
    </row>
    <row r="431" spans="7:7" x14ac:dyDescent="0.25">
      <c r="G431" s="5">
        <v>44045</v>
      </c>
    </row>
    <row r="432" spans="7:7" x14ac:dyDescent="0.25">
      <c r="G432" s="5">
        <v>44046</v>
      </c>
    </row>
    <row r="433" spans="7:7" x14ac:dyDescent="0.25">
      <c r="G433" s="5">
        <v>44047</v>
      </c>
    </row>
    <row r="434" spans="7:7" x14ac:dyDescent="0.25">
      <c r="G434" s="5">
        <v>44048</v>
      </c>
    </row>
    <row r="435" spans="7:7" x14ac:dyDescent="0.25">
      <c r="G435" s="5">
        <v>44049</v>
      </c>
    </row>
    <row r="436" spans="7:7" x14ac:dyDescent="0.25">
      <c r="G436" s="5">
        <v>44050</v>
      </c>
    </row>
    <row r="437" spans="7:7" x14ac:dyDescent="0.25">
      <c r="G437" s="5">
        <v>44051</v>
      </c>
    </row>
    <row r="438" spans="7:7" x14ac:dyDescent="0.25">
      <c r="G438" s="5">
        <v>44052</v>
      </c>
    </row>
    <row r="439" spans="7:7" x14ac:dyDescent="0.25">
      <c r="G439" s="5">
        <v>44053</v>
      </c>
    </row>
    <row r="440" spans="7:7" x14ac:dyDescent="0.25">
      <c r="G440" s="5">
        <v>44054</v>
      </c>
    </row>
    <row r="441" spans="7:7" x14ac:dyDescent="0.25">
      <c r="G441" s="5">
        <v>44055</v>
      </c>
    </row>
    <row r="442" spans="7:7" x14ac:dyDescent="0.25">
      <c r="G442" s="5">
        <v>44056</v>
      </c>
    </row>
    <row r="443" spans="7:7" x14ac:dyDescent="0.25">
      <c r="G443" s="5">
        <v>44057</v>
      </c>
    </row>
    <row r="444" spans="7:7" x14ac:dyDescent="0.25">
      <c r="G444" s="5">
        <v>44058</v>
      </c>
    </row>
    <row r="445" spans="7:7" x14ac:dyDescent="0.25">
      <c r="G445" s="5">
        <v>44059</v>
      </c>
    </row>
    <row r="446" spans="7:7" x14ac:dyDescent="0.25">
      <c r="G446" s="5">
        <v>44060</v>
      </c>
    </row>
    <row r="447" spans="7:7" x14ac:dyDescent="0.25">
      <c r="G447" s="5">
        <v>44061</v>
      </c>
    </row>
    <row r="448" spans="7:7" x14ac:dyDescent="0.25">
      <c r="G448" s="5">
        <v>44062</v>
      </c>
    </row>
    <row r="449" spans="7:7" x14ac:dyDescent="0.25">
      <c r="G449" s="5">
        <v>44063</v>
      </c>
    </row>
    <row r="450" spans="7:7" x14ac:dyDescent="0.25">
      <c r="G450" s="5">
        <v>44064</v>
      </c>
    </row>
    <row r="451" spans="7:7" x14ac:dyDescent="0.25">
      <c r="G451" s="5">
        <v>44065</v>
      </c>
    </row>
    <row r="452" spans="7:7" x14ac:dyDescent="0.25">
      <c r="G452" s="5">
        <v>44066</v>
      </c>
    </row>
    <row r="453" spans="7:7" x14ac:dyDescent="0.25">
      <c r="G453" s="5">
        <v>44067</v>
      </c>
    </row>
    <row r="454" spans="7:7" x14ac:dyDescent="0.25">
      <c r="G454" s="5">
        <v>44068</v>
      </c>
    </row>
    <row r="455" spans="7:7" x14ac:dyDescent="0.25">
      <c r="G455" s="5">
        <v>44069</v>
      </c>
    </row>
    <row r="456" spans="7:7" x14ac:dyDescent="0.25">
      <c r="G456" s="5">
        <v>44070</v>
      </c>
    </row>
    <row r="457" spans="7:7" x14ac:dyDescent="0.25">
      <c r="G457" s="5">
        <v>44071</v>
      </c>
    </row>
    <row r="458" spans="7:7" x14ac:dyDescent="0.25">
      <c r="G458" s="5">
        <v>44072</v>
      </c>
    </row>
    <row r="459" spans="7:7" x14ac:dyDescent="0.25">
      <c r="G459" s="5">
        <v>44073</v>
      </c>
    </row>
    <row r="460" spans="7:7" x14ac:dyDescent="0.25">
      <c r="G460" s="5">
        <v>44074</v>
      </c>
    </row>
    <row r="461" spans="7:7" x14ac:dyDescent="0.25">
      <c r="G461" s="5">
        <v>44075</v>
      </c>
    </row>
    <row r="462" spans="7:7" x14ac:dyDescent="0.25">
      <c r="G462" s="5">
        <v>44076</v>
      </c>
    </row>
    <row r="463" spans="7:7" x14ac:dyDescent="0.25">
      <c r="G463" s="5">
        <v>44077</v>
      </c>
    </row>
    <row r="464" spans="7:7" x14ac:dyDescent="0.25">
      <c r="G464" s="5">
        <v>44078</v>
      </c>
    </row>
    <row r="465" spans="7:7" x14ac:dyDescent="0.25">
      <c r="G465" s="5">
        <v>44079</v>
      </c>
    </row>
    <row r="466" spans="7:7" x14ac:dyDescent="0.25">
      <c r="G466" s="5">
        <v>44080</v>
      </c>
    </row>
    <row r="467" spans="7:7" x14ac:dyDescent="0.25">
      <c r="G467" s="5">
        <v>44081</v>
      </c>
    </row>
    <row r="468" spans="7:7" x14ac:dyDescent="0.25">
      <c r="G468" s="5">
        <v>44082</v>
      </c>
    </row>
    <row r="469" spans="7:7" x14ac:dyDescent="0.25">
      <c r="G469" s="5">
        <v>44083</v>
      </c>
    </row>
    <row r="470" spans="7:7" x14ac:dyDescent="0.25">
      <c r="G470" s="5">
        <v>44084</v>
      </c>
    </row>
    <row r="471" spans="7:7" x14ac:dyDescent="0.25">
      <c r="G471" s="5">
        <v>44085</v>
      </c>
    </row>
    <row r="472" spans="7:7" x14ac:dyDescent="0.25">
      <c r="G472" s="5">
        <v>44086</v>
      </c>
    </row>
    <row r="473" spans="7:7" x14ac:dyDescent="0.25">
      <c r="G473" s="5">
        <v>44087</v>
      </c>
    </row>
    <row r="474" spans="7:7" x14ac:dyDescent="0.25">
      <c r="G474" s="5">
        <v>44088</v>
      </c>
    </row>
    <row r="475" spans="7:7" x14ac:dyDescent="0.25">
      <c r="G475" s="5">
        <v>44089</v>
      </c>
    </row>
    <row r="476" spans="7:7" x14ac:dyDescent="0.25">
      <c r="G476" s="5">
        <v>44090</v>
      </c>
    </row>
    <row r="477" spans="7:7" x14ac:dyDescent="0.25">
      <c r="G477" s="5">
        <v>44091</v>
      </c>
    </row>
    <row r="478" spans="7:7" x14ac:dyDescent="0.25">
      <c r="G478" s="5">
        <v>44092</v>
      </c>
    </row>
    <row r="479" spans="7:7" x14ac:dyDescent="0.25">
      <c r="G479" s="5">
        <v>44093</v>
      </c>
    </row>
    <row r="480" spans="7:7" x14ac:dyDescent="0.25">
      <c r="G480" s="5">
        <v>44094</v>
      </c>
    </row>
    <row r="481" spans="7:7" x14ac:dyDescent="0.25">
      <c r="G481" s="5">
        <v>44095</v>
      </c>
    </row>
    <row r="482" spans="7:7" x14ac:dyDescent="0.25">
      <c r="G482" s="5">
        <v>44096</v>
      </c>
    </row>
    <row r="483" spans="7:7" x14ac:dyDescent="0.25">
      <c r="G483" s="5">
        <v>44097</v>
      </c>
    </row>
    <row r="484" spans="7:7" x14ac:dyDescent="0.25">
      <c r="G484" s="5">
        <v>44098</v>
      </c>
    </row>
    <row r="485" spans="7:7" x14ac:dyDescent="0.25">
      <c r="G485" s="5">
        <v>44099</v>
      </c>
    </row>
    <row r="486" spans="7:7" x14ac:dyDescent="0.25">
      <c r="G486" s="5">
        <v>44100</v>
      </c>
    </row>
    <row r="487" spans="7:7" x14ac:dyDescent="0.25">
      <c r="G487" s="5">
        <v>44101</v>
      </c>
    </row>
    <row r="488" spans="7:7" x14ac:dyDescent="0.25">
      <c r="G488" s="5">
        <v>44102</v>
      </c>
    </row>
    <row r="489" spans="7:7" x14ac:dyDescent="0.25">
      <c r="G489" s="5">
        <v>44103</v>
      </c>
    </row>
    <row r="490" spans="7:7" x14ac:dyDescent="0.25">
      <c r="G490" s="5">
        <v>44104</v>
      </c>
    </row>
    <row r="491" spans="7:7" x14ac:dyDescent="0.25">
      <c r="G491" s="5">
        <v>44105</v>
      </c>
    </row>
    <row r="492" spans="7:7" x14ac:dyDescent="0.25">
      <c r="G492" s="5">
        <v>44106</v>
      </c>
    </row>
    <row r="493" spans="7:7" x14ac:dyDescent="0.25">
      <c r="G493" s="5">
        <v>44107</v>
      </c>
    </row>
    <row r="494" spans="7:7" x14ac:dyDescent="0.25">
      <c r="G494" s="5">
        <v>44108</v>
      </c>
    </row>
    <row r="495" spans="7:7" x14ac:dyDescent="0.25">
      <c r="G495" s="5">
        <v>44109</v>
      </c>
    </row>
    <row r="496" spans="7:7" x14ac:dyDescent="0.25">
      <c r="G496" s="5">
        <v>44110</v>
      </c>
    </row>
    <row r="497" spans="7:7" x14ac:dyDescent="0.25">
      <c r="G497" s="5">
        <v>44111</v>
      </c>
    </row>
    <row r="498" spans="7:7" x14ac:dyDescent="0.25">
      <c r="G498" s="5">
        <v>44112</v>
      </c>
    </row>
    <row r="499" spans="7:7" x14ac:dyDescent="0.25">
      <c r="G499" s="5">
        <v>44113</v>
      </c>
    </row>
    <row r="500" spans="7:7" x14ac:dyDescent="0.25">
      <c r="G500" s="5">
        <v>44114</v>
      </c>
    </row>
    <row r="501" spans="7:7" x14ac:dyDescent="0.25">
      <c r="G501" s="5">
        <v>44115</v>
      </c>
    </row>
    <row r="502" spans="7:7" x14ac:dyDescent="0.25">
      <c r="G502" s="5">
        <v>44116</v>
      </c>
    </row>
    <row r="503" spans="7:7" x14ac:dyDescent="0.25">
      <c r="G503" s="5">
        <v>44117</v>
      </c>
    </row>
    <row r="504" spans="7:7" x14ac:dyDescent="0.25">
      <c r="G504" s="5">
        <v>44118</v>
      </c>
    </row>
    <row r="505" spans="7:7" x14ac:dyDescent="0.25">
      <c r="G505" s="5">
        <v>44119</v>
      </c>
    </row>
    <row r="506" spans="7:7" x14ac:dyDescent="0.25">
      <c r="G506" s="5">
        <v>44120</v>
      </c>
    </row>
    <row r="507" spans="7:7" x14ac:dyDescent="0.25">
      <c r="G507" s="5">
        <v>44121</v>
      </c>
    </row>
    <row r="508" spans="7:7" x14ac:dyDescent="0.25">
      <c r="G508" s="5">
        <v>44122</v>
      </c>
    </row>
    <row r="509" spans="7:7" x14ac:dyDescent="0.25">
      <c r="G509" s="5">
        <v>44123</v>
      </c>
    </row>
    <row r="510" spans="7:7" x14ac:dyDescent="0.25">
      <c r="G510" s="5">
        <v>44124</v>
      </c>
    </row>
    <row r="511" spans="7:7" x14ac:dyDescent="0.25">
      <c r="G511" s="5">
        <v>44125</v>
      </c>
    </row>
    <row r="512" spans="7:7" x14ac:dyDescent="0.25">
      <c r="G512" s="5">
        <v>44126</v>
      </c>
    </row>
    <row r="513" spans="7:7" x14ac:dyDescent="0.25">
      <c r="G513" s="5">
        <v>44127</v>
      </c>
    </row>
    <row r="514" spans="7:7" x14ac:dyDescent="0.25">
      <c r="G514" s="5">
        <v>44128</v>
      </c>
    </row>
    <row r="515" spans="7:7" x14ac:dyDescent="0.25">
      <c r="G515" s="5">
        <v>44129</v>
      </c>
    </row>
    <row r="516" spans="7:7" x14ac:dyDescent="0.25">
      <c r="G516" s="5">
        <v>44130</v>
      </c>
    </row>
    <row r="517" spans="7:7" x14ac:dyDescent="0.25">
      <c r="G517" s="5">
        <v>44131</v>
      </c>
    </row>
    <row r="518" spans="7:7" x14ac:dyDescent="0.25">
      <c r="G518" s="5">
        <v>44132</v>
      </c>
    </row>
    <row r="519" spans="7:7" x14ac:dyDescent="0.25">
      <c r="G519" s="5">
        <v>44133</v>
      </c>
    </row>
    <row r="520" spans="7:7" x14ac:dyDescent="0.25">
      <c r="G520" s="5">
        <v>44134</v>
      </c>
    </row>
    <row r="521" spans="7:7" x14ac:dyDescent="0.25">
      <c r="G521" s="5">
        <v>44135</v>
      </c>
    </row>
    <row r="522" spans="7:7" x14ac:dyDescent="0.25">
      <c r="G522" s="5">
        <v>44136</v>
      </c>
    </row>
    <row r="523" spans="7:7" x14ac:dyDescent="0.25">
      <c r="G523" s="5">
        <v>44137</v>
      </c>
    </row>
    <row r="524" spans="7:7" x14ac:dyDescent="0.25">
      <c r="G524" s="5">
        <v>44138</v>
      </c>
    </row>
    <row r="525" spans="7:7" x14ac:dyDescent="0.25">
      <c r="G525" s="5">
        <v>44139</v>
      </c>
    </row>
    <row r="526" spans="7:7" x14ac:dyDescent="0.25">
      <c r="G526" s="5">
        <v>44140</v>
      </c>
    </row>
    <row r="527" spans="7:7" x14ac:dyDescent="0.25">
      <c r="G527" s="5">
        <v>44141</v>
      </c>
    </row>
    <row r="528" spans="7:7" x14ac:dyDescent="0.25">
      <c r="G528" s="5">
        <v>44142</v>
      </c>
    </row>
    <row r="529" spans="7:7" x14ac:dyDescent="0.25">
      <c r="G529" s="5">
        <v>44143</v>
      </c>
    </row>
    <row r="530" spans="7:7" x14ac:dyDescent="0.25">
      <c r="G530" s="5">
        <v>44144</v>
      </c>
    </row>
    <row r="531" spans="7:7" x14ac:dyDescent="0.25">
      <c r="G531" s="5">
        <v>44145</v>
      </c>
    </row>
    <row r="532" spans="7:7" x14ac:dyDescent="0.25">
      <c r="G532" s="5">
        <v>44146</v>
      </c>
    </row>
    <row r="533" spans="7:7" x14ac:dyDescent="0.25">
      <c r="G533" s="5">
        <v>44147</v>
      </c>
    </row>
    <row r="534" spans="7:7" x14ac:dyDescent="0.25">
      <c r="G534" s="5">
        <v>44148</v>
      </c>
    </row>
    <row r="535" spans="7:7" x14ac:dyDescent="0.25">
      <c r="G535" s="5">
        <v>44149</v>
      </c>
    </row>
    <row r="536" spans="7:7" x14ac:dyDescent="0.25">
      <c r="G536" s="5">
        <v>44150</v>
      </c>
    </row>
    <row r="537" spans="7:7" x14ac:dyDescent="0.25">
      <c r="G537" s="5">
        <v>44151</v>
      </c>
    </row>
    <row r="538" spans="7:7" x14ac:dyDescent="0.25">
      <c r="G538" s="5">
        <v>44152</v>
      </c>
    </row>
    <row r="539" spans="7:7" x14ac:dyDescent="0.25">
      <c r="G539" s="5">
        <v>44153</v>
      </c>
    </row>
    <row r="540" spans="7:7" x14ac:dyDescent="0.25">
      <c r="G540" s="5">
        <v>44154</v>
      </c>
    </row>
    <row r="541" spans="7:7" x14ac:dyDescent="0.25">
      <c r="G541" s="5">
        <v>44155</v>
      </c>
    </row>
    <row r="542" spans="7:7" x14ac:dyDescent="0.25">
      <c r="G542" s="5">
        <v>44156</v>
      </c>
    </row>
    <row r="543" spans="7:7" x14ac:dyDescent="0.25">
      <c r="G543" s="5">
        <v>44157</v>
      </c>
    </row>
    <row r="544" spans="7:7" x14ac:dyDescent="0.25">
      <c r="G544" s="5">
        <v>44158</v>
      </c>
    </row>
    <row r="545" spans="7:7" x14ac:dyDescent="0.25">
      <c r="G545" s="5">
        <v>44159</v>
      </c>
    </row>
    <row r="546" spans="7:7" x14ac:dyDescent="0.25">
      <c r="G546" s="5">
        <v>44160</v>
      </c>
    </row>
    <row r="547" spans="7:7" x14ac:dyDescent="0.25">
      <c r="G547" s="5">
        <v>44161</v>
      </c>
    </row>
    <row r="548" spans="7:7" x14ac:dyDescent="0.25">
      <c r="G548" s="5">
        <v>44162</v>
      </c>
    </row>
    <row r="549" spans="7:7" x14ac:dyDescent="0.25">
      <c r="G549" s="5">
        <v>44163</v>
      </c>
    </row>
    <row r="550" spans="7:7" x14ac:dyDescent="0.25">
      <c r="G550" s="5">
        <v>44164</v>
      </c>
    </row>
    <row r="551" spans="7:7" x14ac:dyDescent="0.25">
      <c r="G551" s="5">
        <v>44165</v>
      </c>
    </row>
  </sheetData>
  <conditionalFormatting sqref="K10">
    <cfRule type="expression" dxfId="0" priority="1">
      <formula>K5="Nystartet institution"</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6</vt:i4>
      </vt:variant>
      <vt:variant>
        <vt:lpstr>Navngivne områder</vt:lpstr>
      </vt:variant>
      <vt:variant>
        <vt:i4>9</vt:i4>
      </vt:variant>
    </vt:vector>
  </HeadingPairs>
  <TitlesOfParts>
    <vt:vector size="15" baseType="lpstr">
      <vt:lpstr>Ansøgning</vt:lpstr>
      <vt:lpstr>Afrapportering</vt:lpstr>
      <vt:lpstr>Revisorerklæring - ansøgning</vt:lpstr>
      <vt:lpstr>Revisorerklæring - efterr.</vt:lpstr>
      <vt:lpstr>Kontrol</vt:lpstr>
      <vt:lpstr>Lister</vt:lpstr>
      <vt:lpstr>AndenReferenceperiode</vt:lpstr>
      <vt:lpstr>FastholdeUdbetaling</vt:lpstr>
      <vt:lpstr>Forbudsart</vt:lpstr>
      <vt:lpstr>Kompensationsperiode</vt:lpstr>
      <vt:lpstr>NegativtResultat</vt:lpstr>
      <vt:lpstr>NystartedeVirksomheder</vt:lpstr>
      <vt:lpstr>OpgørelseAfSenesteResultat</vt:lpstr>
      <vt:lpstr>Referenceperiode</vt:lpstr>
      <vt:lpstr>ReferenceperiodeFasteOmk</vt:lpstr>
    </vt:vector>
  </TitlesOfParts>
  <Company>Statens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Simon Hjerrild Bech</dc:creator>
  <cp:lastModifiedBy>Ditte Mørch Sørensen</cp:lastModifiedBy>
  <dcterms:created xsi:type="dcterms:W3CDTF">2020-05-12T11:35:25Z</dcterms:created>
  <dcterms:modified xsi:type="dcterms:W3CDTF">2021-10-18T07:22:50Z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wC Document Node Id">
    <vt:lpwstr>19094414</vt:lpwstr>
  </property>
  <property fmtid="{D5CDD505-2E9C-101B-9397-08002B2CF9AE}" pid="3" name="PwC Version Number">
    <vt:lpwstr>1</vt:lpwstr>
  </property>
</Properties>
</file>